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601" activeTab="0"/>
  </bookViews>
  <sheets>
    <sheet name="BUGET AN 2019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<sst xmlns="http://schemas.openxmlformats.org/spreadsheetml/2006/main" count="159" uniqueCount="111">
  <si>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</si>
  <si>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</si>
  <si>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</si>
  <si>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</si>
  <si>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</si>
  <si>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</si>
  <si>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</si>
  <si>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</si>
  <si>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</si>
  <si>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NEGOITA MARIA</t>
  </si>
  <si>
    <t>STAMATE MARIA MAGDALENA</t>
  </si>
  <si>
    <t>VERONA DAN ARTHUR</t>
  </si>
  <si>
    <t>IVANOV ROXANA</t>
  </si>
  <si>
    <t>nr.crt.</t>
  </si>
  <si>
    <t>Gr. prof.</t>
  </si>
  <si>
    <t>S</t>
  </si>
  <si>
    <t>M</t>
  </si>
  <si>
    <t>P</t>
  </si>
  <si>
    <t xml:space="preserve">total  an </t>
  </si>
  <si>
    <t>Urban</t>
  </si>
  <si>
    <t>Rural</t>
  </si>
  <si>
    <t>Tufesti</t>
  </si>
  <si>
    <t>Racovita</t>
  </si>
  <si>
    <t>Galbenu</t>
  </si>
  <si>
    <t>M. miresii</t>
  </si>
  <si>
    <t>Chiscani</t>
  </si>
  <si>
    <t xml:space="preserve"> Repart. Grad</t>
  </si>
  <si>
    <t xml:space="preserve"> Repart. rural</t>
  </si>
  <si>
    <t>Repart. finala</t>
  </si>
  <si>
    <t xml:space="preserve"> Repart.  program</t>
  </si>
  <si>
    <t xml:space="preserve">Repart. nr. medici </t>
  </si>
  <si>
    <t>iulie</t>
  </si>
  <si>
    <t>aug.</t>
  </si>
  <si>
    <t>sept.</t>
  </si>
  <si>
    <t>oct.</t>
  </si>
  <si>
    <t>nov.</t>
  </si>
  <si>
    <t>dec.</t>
  </si>
  <si>
    <t>mai</t>
  </si>
  <si>
    <t>SIRBU CRISTINA</t>
  </si>
  <si>
    <t xml:space="preserve">Repart. Finala </t>
  </si>
  <si>
    <t>Total. Iulie-dec. 2011</t>
  </si>
  <si>
    <t>Program activitate in contract cu CAS</t>
  </si>
  <si>
    <t>coeficient repartizare    buget dupa grad prof.</t>
  </si>
  <si>
    <t>coeficient majorare buget pt. rural</t>
  </si>
  <si>
    <t>TRIM. I</t>
  </si>
  <si>
    <t>TRIM. II</t>
  </si>
  <si>
    <t>Repart. Finala lunara rotunjit pt. TRIM.IV 2015</t>
  </si>
  <si>
    <t>PUNCTAJ   FINAL</t>
  </si>
  <si>
    <t xml:space="preserve">TRIM. I 2016 CALCULAT CU PUNCTAJ (buget trimestru I 2016 =125.000) </t>
  </si>
  <si>
    <t xml:space="preserve">repartizare buget lunar-IAN.2016 </t>
  </si>
  <si>
    <t>TUDOSE GABRIELA ELENA</t>
  </si>
  <si>
    <t>Nume medic/cabinet</t>
  </si>
  <si>
    <t xml:space="preserve">IAN. </t>
  </si>
  <si>
    <t xml:space="preserve">FEB. </t>
  </si>
  <si>
    <t xml:space="preserve">MAR. </t>
  </si>
  <si>
    <t xml:space="preserve">APR. </t>
  </si>
  <si>
    <t xml:space="preserve">MAI. </t>
  </si>
  <si>
    <t xml:space="preserve">IUN. </t>
  </si>
  <si>
    <t xml:space="preserve">IUL. </t>
  </si>
  <si>
    <t xml:space="preserve">OCT. </t>
  </si>
  <si>
    <t xml:space="preserve">NOV. </t>
  </si>
  <si>
    <t xml:space="preserve">DEC. </t>
  </si>
  <si>
    <t>LOVMAR DENT SRL-dr.Orlov</t>
  </si>
  <si>
    <t>BANICA ET CO SNC</t>
  </si>
  <si>
    <t xml:space="preserve">TRIM. II 2016 CALCULAT CU PUNCTAJ (buget trimestru II 2016 =106.000) </t>
  </si>
  <si>
    <t xml:space="preserve">repartizare buget lunar-APR.2016 </t>
  </si>
  <si>
    <t>PUNCTAJ   FINAL    iulie 2016</t>
  </si>
  <si>
    <t>VIZIRU sem.I 2016/URBAN sem.II 2016</t>
  </si>
  <si>
    <t>POPA GABRIELA</t>
  </si>
  <si>
    <t>FEB.</t>
  </si>
  <si>
    <t>MAR.</t>
  </si>
  <si>
    <t>APR.</t>
  </si>
  <si>
    <t>MAI</t>
  </si>
  <si>
    <t>IUNIE</t>
  </si>
  <si>
    <t>IULIE</t>
  </si>
  <si>
    <t>AUG.</t>
  </si>
  <si>
    <t>SEPT.</t>
  </si>
  <si>
    <t xml:space="preserve">VARTOLOMEI </t>
  </si>
  <si>
    <t>TRIM. III</t>
  </si>
  <si>
    <t>TRIM.  I</t>
  </si>
  <si>
    <t>POPA GABRIEL VALERIU</t>
  </si>
  <si>
    <t>PORUMB DORIAN</t>
  </si>
  <si>
    <t>TANASE ROXANA</t>
  </si>
  <si>
    <t>ICONARU-HANCU MARILENA GABRIELA</t>
  </si>
  <si>
    <t>PUNCTAJ   FINAL  2019</t>
  </si>
  <si>
    <t>51000:22=2318,18 lei</t>
  </si>
  <si>
    <t>repartizare buget pe luna ian. 2019</t>
  </si>
  <si>
    <t>IAN</t>
  </si>
  <si>
    <t>PUNCTAJ   FINAL pt. trim. II 2019</t>
  </si>
  <si>
    <t>luna I 2019=51,000 LEI</t>
  </si>
  <si>
    <t>53000:21,20=2.500 lei</t>
  </si>
  <si>
    <t>repartizare buget pe luna apr. 2019</t>
  </si>
  <si>
    <t>repartizare buget pe luna iunie 2019</t>
  </si>
  <si>
    <t>54000:21,20=2547,16lei</t>
  </si>
  <si>
    <t>TOTAL AN 2019</t>
  </si>
  <si>
    <t>trim. II 2019</t>
  </si>
  <si>
    <t>regularizare trim. I 2019</t>
  </si>
  <si>
    <t>STAN COSMIN</t>
  </si>
  <si>
    <t>PUNCTAJ   FINAL aug.-dec. 2019</t>
  </si>
  <si>
    <t>BOROS DANIEL</t>
  </si>
  <si>
    <t>HULEA CATALIN OCTAVIAN</t>
  </si>
  <si>
    <t>SLOATA COSMIN</t>
  </si>
  <si>
    <t>210000:24,80=8467,74 lei</t>
  </si>
  <si>
    <t>repartizare buget pe aug.-dec. 2019</t>
  </si>
  <si>
    <t>media lunara AUG.-DEC. 2019</t>
  </si>
  <si>
    <t>54000:24.80=2177,41 lei</t>
  </si>
  <si>
    <t>39000:24,80=1572,58 lei</t>
  </si>
  <si>
    <t>aug.-sept..-nov.-dec.</t>
  </si>
  <si>
    <t>oct. 2019</t>
  </si>
  <si>
    <t>SITUATIA CONTRACTARII SERVICIILOR DE MEDICINA DENTARA-IAN.-DEC. 2019</t>
  </si>
  <si>
    <t>Buget aug.-sept.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</si>
</sst>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80">
    <font>
      <sz val="10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0"/>
    </font>
    <font>
      <b/>
      <sz val="9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0"/>
    </font>
    <font>
      <sz val="10"/>
      <color indexed="12"/>
      <name val="Arial"/>
      <family val="0"/>
    </font>
    <font>
      <b/>
      <sz val="14"/>
      <color indexed="12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1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8"/>
      <color indexed="12"/>
      <name val="Times New Roman"/>
      <family val="0"/>
    </font>
    <font>
      <b/>
      <sz val="8"/>
      <color indexed="10"/>
      <name val="Times New Roman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0"/>
    </font>
    <font>
      <b/>
      <sz val="9"/>
      <color indexed="18"/>
      <name val="Arial"/>
      <family val="2"/>
    </font>
    <font>
      <b/>
      <sz val="9"/>
      <color indexed="12"/>
      <name val="Times New Roman"/>
      <family val="0"/>
    </font>
    <font>
      <sz val="10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0" borderId="2" applyNumberFormat="0" applyFill="0" applyAlignment="0" applyProtection="0"/>
    <xf numFmtId="0" fontId="68" fillId="28" borderId="0" applyNumberFormat="0" applyBorder="0" applyAlignment="0" applyProtection="0"/>
    <xf numFmtId="0" fontId="69" fillId="27" borderId="3" applyNumberFormat="0" applyAlignment="0" applyProtection="0"/>
    <xf numFmtId="0" fontId="7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0" borderId="0" xfId="0" applyNumberFormat="1" applyFont="1" applyAlignment="1">
      <alignment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/>
    </xf>
    <xf numFmtId="2" fontId="0" fillId="35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5" borderId="11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 horizontal="center" wrapText="1"/>
    </xf>
    <xf numFmtId="0" fontId="2" fillId="33" borderId="10" xfId="48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19" fillId="0" borderId="0" xfId="0" applyFont="1" applyAlignment="1">
      <alignment/>
    </xf>
    <xf numFmtId="1" fontId="0" fillId="33" borderId="0" xfId="0" applyNumberFormat="1" applyFont="1" applyFill="1" applyAlignment="1">
      <alignment/>
    </xf>
    <xf numFmtId="2" fontId="20" fillId="35" borderId="14" xfId="0" applyNumberFormat="1" applyFont="1" applyFill="1" applyBorder="1" applyAlignment="1">
      <alignment horizontal="right"/>
    </xf>
    <xf numFmtId="1" fontId="20" fillId="33" borderId="14" xfId="0" applyNumberFormat="1" applyFont="1" applyFill="1" applyBorder="1" applyAlignment="1">
      <alignment horizontal="right"/>
    </xf>
    <xf numFmtId="2" fontId="22" fillId="35" borderId="14" xfId="0" applyNumberFormat="1" applyFont="1" applyFill="1" applyBorder="1" applyAlignment="1">
      <alignment horizontal="right"/>
    </xf>
    <xf numFmtId="2" fontId="22" fillId="33" borderId="14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" fontId="25" fillId="35" borderId="14" xfId="0" applyNumberFormat="1" applyFont="1" applyFill="1" applyBorder="1" applyAlignment="1">
      <alignment horizontal="right"/>
    </xf>
    <xf numFmtId="0" fontId="26" fillId="0" borderId="14" xfId="0" applyNumberFormat="1" applyFont="1" applyBorder="1" applyAlignment="1">
      <alignment wrapText="1"/>
    </xf>
    <xf numFmtId="2" fontId="26" fillId="0" borderId="14" xfId="0" applyNumberFormat="1" applyFont="1" applyBorder="1" applyAlignment="1">
      <alignment horizontal="right"/>
    </xf>
    <xf numFmtId="2" fontId="28" fillId="0" borderId="14" xfId="0" applyNumberFormat="1" applyFont="1" applyBorder="1" applyAlignment="1">
      <alignment horizontal="right"/>
    </xf>
    <xf numFmtId="2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0" fontId="9" fillId="34" borderId="13" xfId="0" applyFont="1" applyFill="1" applyBorder="1" applyAlignment="1">
      <alignment/>
    </xf>
    <xf numFmtId="1" fontId="0" fillId="34" borderId="0" xfId="0" applyNumberFormat="1" applyFont="1" applyFill="1" applyAlignment="1">
      <alignment/>
    </xf>
    <xf numFmtId="0" fontId="20" fillId="36" borderId="14" xfId="0" applyFont="1" applyFill="1" applyBorder="1" applyAlignment="1">
      <alignment horizontal="right"/>
    </xf>
    <xf numFmtId="0" fontId="14" fillId="37" borderId="14" xfId="0" applyFont="1" applyFill="1" applyBorder="1" applyAlignment="1">
      <alignment/>
    </xf>
    <xf numFmtId="0" fontId="20" fillId="37" borderId="13" xfId="0" applyFont="1" applyFill="1" applyBorder="1" applyAlignment="1">
      <alignment/>
    </xf>
    <xf numFmtId="0" fontId="20" fillId="37" borderId="13" xfId="0" applyFont="1" applyFill="1" applyBorder="1" applyAlignment="1">
      <alignment horizontal="right"/>
    </xf>
    <xf numFmtId="0" fontId="20" fillId="37" borderId="14" xfId="0" applyFont="1" applyFill="1" applyBorder="1" applyAlignment="1">
      <alignment horizontal="right"/>
    </xf>
    <xf numFmtId="0" fontId="26" fillId="37" borderId="14" xfId="0" applyNumberFormat="1" applyFont="1" applyFill="1" applyBorder="1" applyAlignment="1">
      <alignment wrapText="1"/>
    </xf>
    <xf numFmtId="2" fontId="26" fillId="37" borderId="14" xfId="0" applyNumberFormat="1" applyFont="1" applyFill="1" applyBorder="1" applyAlignment="1">
      <alignment horizontal="right"/>
    </xf>
    <xf numFmtId="2" fontId="20" fillId="37" borderId="14" xfId="0" applyNumberFormat="1" applyFont="1" applyFill="1" applyBorder="1" applyAlignment="1">
      <alignment horizontal="right"/>
    </xf>
    <xf numFmtId="1" fontId="26" fillId="37" borderId="14" xfId="0" applyNumberFormat="1" applyFont="1" applyFill="1" applyBorder="1" applyAlignment="1">
      <alignment horizontal="right"/>
    </xf>
    <xf numFmtId="1" fontId="20" fillId="37" borderId="14" xfId="0" applyNumberFormat="1" applyFont="1" applyFill="1" applyBorder="1" applyAlignment="1">
      <alignment horizontal="right"/>
    </xf>
    <xf numFmtId="0" fontId="12" fillId="37" borderId="13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0" fontId="17" fillId="37" borderId="0" xfId="0" applyFont="1" applyFill="1" applyAlignment="1">
      <alignment/>
    </xf>
    <xf numFmtId="2" fontId="20" fillId="38" borderId="14" xfId="0" applyNumberFormat="1" applyFont="1" applyFill="1" applyBorder="1" applyAlignment="1">
      <alignment horizontal="right"/>
    </xf>
    <xf numFmtId="2" fontId="27" fillId="37" borderId="14" xfId="0" applyNumberFormat="1" applyFont="1" applyFill="1" applyBorder="1" applyAlignment="1">
      <alignment horizontal="right"/>
    </xf>
    <xf numFmtId="2" fontId="21" fillId="37" borderId="13" xfId="0" applyNumberFormat="1" applyFont="1" applyFill="1" applyBorder="1" applyAlignment="1">
      <alignment horizontal="right"/>
    </xf>
    <xf numFmtId="1" fontId="20" fillId="37" borderId="13" xfId="0" applyNumberFormat="1" applyFont="1" applyFill="1" applyBorder="1" applyAlignment="1">
      <alignment horizontal="right"/>
    </xf>
    <xf numFmtId="0" fontId="31" fillId="37" borderId="13" xfId="0" applyFont="1" applyFill="1" applyBorder="1" applyAlignment="1">
      <alignment/>
    </xf>
    <xf numFmtId="0" fontId="18" fillId="37" borderId="13" xfId="0" applyFont="1" applyFill="1" applyBorder="1" applyAlignment="1">
      <alignment/>
    </xf>
    <xf numFmtId="0" fontId="18" fillId="37" borderId="0" xfId="0" applyFont="1" applyFill="1" applyAlignment="1">
      <alignment/>
    </xf>
    <xf numFmtId="0" fontId="14" fillId="38" borderId="14" xfId="0" applyFont="1" applyFill="1" applyBorder="1" applyAlignment="1">
      <alignment/>
    </xf>
    <xf numFmtId="0" fontId="21" fillId="38" borderId="13" xfId="0" applyFont="1" applyFill="1" applyBorder="1" applyAlignment="1">
      <alignment/>
    </xf>
    <xf numFmtId="0" fontId="21" fillId="38" borderId="13" xfId="0" applyFont="1" applyFill="1" applyBorder="1" applyAlignment="1">
      <alignment horizontal="right"/>
    </xf>
    <xf numFmtId="0" fontId="20" fillId="38" borderId="14" xfId="0" applyFont="1" applyFill="1" applyBorder="1" applyAlignment="1">
      <alignment horizontal="right"/>
    </xf>
    <xf numFmtId="0" fontId="26" fillId="38" borderId="14" xfId="0" applyNumberFormat="1" applyFont="1" applyFill="1" applyBorder="1" applyAlignment="1">
      <alignment wrapText="1"/>
    </xf>
    <xf numFmtId="2" fontId="26" fillId="38" borderId="14" xfId="0" applyNumberFormat="1" applyFont="1" applyFill="1" applyBorder="1" applyAlignment="1">
      <alignment horizontal="right"/>
    </xf>
    <xf numFmtId="2" fontId="27" fillId="38" borderId="14" xfId="0" applyNumberFormat="1" applyFont="1" applyFill="1" applyBorder="1" applyAlignment="1">
      <alignment horizontal="right"/>
    </xf>
    <xf numFmtId="2" fontId="21" fillId="38" borderId="14" xfId="0" applyNumberFormat="1" applyFont="1" applyFill="1" applyBorder="1" applyAlignment="1">
      <alignment horizontal="right"/>
    </xf>
    <xf numFmtId="1" fontId="20" fillId="38" borderId="14" xfId="0" applyNumberFormat="1" applyFont="1" applyFill="1" applyBorder="1" applyAlignment="1">
      <alignment horizontal="right"/>
    </xf>
    <xf numFmtId="0" fontId="31" fillId="38" borderId="13" xfId="0" applyFont="1" applyFill="1" applyBorder="1" applyAlignment="1">
      <alignment/>
    </xf>
    <xf numFmtId="0" fontId="18" fillId="38" borderId="13" xfId="0" applyFont="1" applyFill="1" applyBorder="1" applyAlignment="1">
      <alignment/>
    </xf>
    <xf numFmtId="0" fontId="18" fillId="38" borderId="0" xfId="0" applyFont="1" applyFill="1" applyAlignment="1">
      <alignment/>
    </xf>
    <xf numFmtId="0" fontId="14" fillId="39" borderId="14" xfId="0" applyFont="1" applyFill="1" applyBorder="1" applyAlignment="1">
      <alignment/>
    </xf>
    <xf numFmtId="0" fontId="21" fillId="39" borderId="15" xfId="0" applyFont="1" applyFill="1" applyBorder="1" applyAlignment="1">
      <alignment/>
    </xf>
    <xf numFmtId="0" fontId="21" fillId="39" borderId="15" xfId="0" applyFont="1" applyFill="1" applyBorder="1" applyAlignment="1">
      <alignment horizontal="right"/>
    </xf>
    <xf numFmtId="0" fontId="21" fillId="39" borderId="13" xfId="0" applyFont="1" applyFill="1" applyBorder="1" applyAlignment="1">
      <alignment horizontal="right"/>
    </xf>
    <xf numFmtId="0" fontId="20" fillId="39" borderId="14" xfId="0" applyFont="1" applyFill="1" applyBorder="1" applyAlignment="1">
      <alignment horizontal="right"/>
    </xf>
    <xf numFmtId="0" fontId="26" fillId="39" borderId="14" xfId="0" applyNumberFormat="1" applyFont="1" applyFill="1" applyBorder="1" applyAlignment="1">
      <alignment wrapText="1"/>
    </xf>
    <xf numFmtId="2" fontId="26" fillId="39" borderId="14" xfId="0" applyNumberFormat="1" applyFont="1" applyFill="1" applyBorder="1" applyAlignment="1">
      <alignment horizontal="right"/>
    </xf>
    <xf numFmtId="2" fontId="20" fillId="39" borderId="14" xfId="0" applyNumberFormat="1" applyFont="1" applyFill="1" applyBorder="1" applyAlignment="1">
      <alignment horizontal="right"/>
    </xf>
    <xf numFmtId="2" fontId="21" fillId="39" borderId="13" xfId="0" applyNumberFormat="1" applyFont="1" applyFill="1" applyBorder="1" applyAlignment="1">
      <alignment horizontal="right"/>
    </xf>
    <xf numFmtId="2" fontId="21" fillId="39" borderId="14" xfId="0" applyNumberFormat="1" applyFont="1" applyFill="1" applyBorder="1" applyAlignment="1">
      <alignment horizontal="right"/>
    </xf>
    <xf numFmtId="1" fontId="26" fillId="39" borderId="14" xfId="0" applyNumberFormat="1" applyFont="1" applyFill="1" applyBorder="1" applyAlignment="1">
      <alignment horizontal="right"/>
    </xf>
    <xf numFmtId="1" fontId="20" fillId="39" borderId="14" xfId="0" applyNumberFormat="1" applyFont="1" applyFill="1" applyBorder="1" applyAlignment="1">
      <alignment horizontal="right"/>
    </xf>
    <xf numFmtId="0" fontId="31" fillId="39" borderId="13" xfId="0" applyFont="1" applyFill="1" applyBorder="1" applyAlignment="1">
      <alignment/>
    </xf>
    <xf numFmtId="0" fontId="18" fillId="39" borderId="13" xfId="0" applyFont="1" applyFill="1" applyBorder="1" applyAlignment="1">
      <alignment/>
    </xf>
    <xf numFmtId="0" fontId="18" fillId="39" borderId="0" xfId="0" applyFont="1" applyFill="1" applyAlignment="1">
      <alignment/>
    </xf>
    <xf numFmtId="0" fontId="21" fillId="39" borderId="13" xfId="0" applyFont="1" applyFill="1" applyBorder="1" applyAlignment="1">
      <alignment/>
    </xf>
    <xf numFmtId="0" fontId="21" fillId="39" borderId="13" xfId="0" applyFont="1" applyFill="1" applyBorder="1" applyAlignment="1">
      <alignment horizontal="right"/>
    </xf>
    <xf numFmtId="2" fontId="27" fillId="39" borderId="14" xfId="0" applyNumberFormat="1" applyFont="1" applyFill="1" applyBorder="1" applyAlignment="1">
      <alignment horizontal="right"/>
    </xf>
    <xf numFmtId="2" fontId="23" fillId="39" borderId="14" xfId="0" applyNumberFormat="1" applyFont="1" applyFill="1" applyBorder="1" applyAlignment="1">
      <alignment horizontal="right"/>
    </xf>
    <xf numFmtId="0" fontId="32" fillId="39" borderId="13" xfId="0" applyFont="1" applyFill="1" applyBorder="1" applyAlignment="1">
      <alignment/>
    </xf>
    <xf numFmtId="0" fontId="16" fillId="39" borderId="0" xfId="0" applyFont="1" applyFill="1" applyAlignment="1">
      <alignment/>
    </xf>
    <xf numFmtId="1" fontId="26" fillId="38" borderId="14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1" fontId="3" fillId="35" borderId="11" xfId="0" applyNumberFormat="1" applyFont="1" applyFill="1" applyBorder="1" applyAlignment="1">
      <alignment wrapText="1"/>
    </xf>
    <xf numFmtId="1" fontId="3" fillId="34" borderId="11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" fontId="0" fillId="35" borderId="0" xfId="0" applyNumberFormat="1" applyFont="1" applyFill="1" applyAlignment="1">
      <alignment/>
    </xf>
    <xf numFmtId="1" fontId="14" fillId="35" borderId="11" xfId="0" applyNumberFormat="1" applyFont="1" applyFill="1" applyBorder="1" applyAlignment="1">
      <alignment wrapText="1"/>
    </xf>
    <xf numFmtId="2" fontId="1" fillId="36" borderId="17" xfId="0" applyNumberFormat="1" applyFont="1" applyFill="1" applyBorder="1" applyAlignment="1">
      <alignment horizontal="right"/>
    </xf>
    <xf numFmtId="0" fontId="14" fillId="36" borderId="17" xfId="0" applyFont="1" applyFill="1" applyBorder="1" applyAlignment="1">
      <alignment horizontal="right"/>
    </xf>
    <xf numFmtId="2" fontId="14" fillId="35" borderId="11" xfId="0" applyNumberFormat="1" applyFont="1" applyFill="1" applyBorder="1" applyAlignment="1">
      <alignment wrapText="1"/>
    </xf>
    <xf numFmtId="2" fontId="26" fillId="37" borderId="14" xfId="0" applyNumberFormat="1" applyFont="1" applyFill="1" applyBorder="1" applyAlignment="1">
      <alignment horizontal="right"/>
    </xf>
    <xf numFmtId="2" fontId="26" fillId="39" borderId="14" xfId="0" applyNumberFormat="1" applyFon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/>
    </xf>
    <xf numFmtId="0" fontId="20" fillId="40" borderId="14" xfId="0" applyFont="1" applyFill="1" applyBorder="1" applyAlignment="1">
      <alignment horizontal="right"/>
    </xf>
    <xf numFmtId="2" fontId="14" fillId="40" borderId="11" xfId="0" applyNumberFormat="1" applyFont="1" applyFill="1" applyBorder="1" applyAlignment="1">
      <alignment wrapText="1"/>
    </xf>
    <xf numFmtId="1" fontId="14" fillId="40" borderId="11" xfId="0" applyNumberFormat="1" applyFont="1" applyFill="1" applyBorder="1" applyAlignment="1">
      <alignment wrapText="1"/>
    </xf>
    <xf numFmtId="1" fontId="0" fillId="40" borderId="0" xfId="0" applyNumberFormat="1" applyFont="1" applyFill="1" applyAlignment="1">
      <alignment/>
    </xf>
    <xf numFmtId="0" fontId="30" fillId="0" borderId="0" xfId="0" applyFont="1" applyAlignment="1">
      <alignment horizontal="left"/>
    </xf>
    <xf numFmtId="2" fontId="1" fillId="40" borderId="17" xfId="0" applyNumberFormat="1" applyFont="1" applyFill="1" applyBorder="1" applyAlignment="1">
      <alignment horizontal="right"/>
    </xf>
    <xf numFmtId="0" fontId="20" fillId="41" borderId="14" xfId="0" applyFont="1" applyFill="1" applyBorder="1" applyAlignment="1">
      <alignment horizontal="right"/>
    </xf>
    <xf numFmtId="0" fontId="26" fillId="41" borderId="14" xfId="0" applyNumberFormat="1" applyFont="1" applyFill="1" applyBorder="1" applyAlignment="1">
      <alignment wrapText="1"/>
    </xf>
    <xf numFmtId="2" fontId="26" fillId="41" borderId="14" xfId="0" applyNumberFormat="1" applyFont="1" applyFill="1" applyBorder="1" applyAlignment="1">
      <alignment horizontal="right"/>
    </xf>
    <xf numFmtId="2" fontId="29" fillId="41" borderId="14" xfId="0" applyNumberFormat="1" applyFont="1" applyFill="1" applyBorder="1" applyAlignment="1">
      <alignment horizontal="right"/>
    </xf>
    <xf numFmtId="2" fontId="20" fillId="41" borderId="14" xfId="0" applyNumberFormat="1" applyFont="1" applyFill="1" applyBorder="1" applyAlignment="1">
      <alignment horizontal="right"/>
    </xf>
    <xf numFmtId="1" fontId="26" fillId="41" borderId="14" xfId="0" applyNumberFormat="1" applyFont="1" applyFill="1" applyBorder="1" applyAlignment="1">
      <alignment horizontal="right"/>
    </xf>
    <xf numFmtId="2" fontId="26" fillId="41" borderId="14" xfId="0" applyNumberFormat="1" applyFont="1" applyFill="1" applyBorder="1" applyAlignment="1">
      <alignment horizontal="right"/>
    </xf>
    <xf numFmtId="1" fontId="20" fillId="41" borderId="14" xfId="0" applyNumberFormat="1" applyFont="1" applyFill="1" applyBorder="1" applyAlignment="1">
      <alignment horizontal="right"/>
    </xf>
    <xf numFmtId="0" fontId="12" fillId="41" borderId="13" xfId="0" applyFont="1" applyFill="1" applyBorder="1" applyAlignment="1">
      <alignment/>
    </xf>
    <xf numFmtId="0" fontId="17" fillId="41" borderId="13" xfId="0" applyFont="1" applyFill="1" applyBorder="1" applyAlignment="1">
      <alignment/>
    </xf>
    <xf numFmtId="0" fontId="17" fillId="41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38" fillId="33" borderId="0" xfId="0" applyNumberFormat="1" applyFont="1" applyFill="1" applyAlignment="1">
      <alignment/>
    </xf>
    <xf numFmtId="1" fontId="36" fillId="33" borderId="0" xfId="0" applyNumberFormat="1" applyFont="1" applyFill="1" applyAlignment="1">
      <alignment/>
    </xf>
    <xf numFmtId="1" fontId="35" fillId="35" borderId="11" xfId="0" applyNumberFormat="1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" fontId="25" fillId="39" borderId="14" xfId="0" applyNumberFormat="1" applyFont="1" applyFill="1" applyBorder="1" applyAlignment="1">
      <alignment horizontal="right"/>
    </xf>
    <xf numFmtId="0" fontId="31" fillId="39" borderId="13" xfId="0" applyFont="1" applyFill="1" applyBorder="1" applyAlignment="1">
      <alignment wrapText="1"/>
    </xf>
    <xf numFmtId="0" fontId="20" fillId="39" borderId="18" xfId="0" applyFont="1" applyFill="1" applyBorder="1" applyAlignment="1">
      <alignment horizontal="right"/>
    </xf>
    <xf numFmtId="0" fontId="26" fillId="39" borderId="18" xfId="0" applyNumberFormat="1" applyFont="1" applyFill="1" applyBorder="1" applyAlignment="1">
      <alignment wrapText="1"/>
    </xf>
    <xf numFmtId="2" fontId="26" fillId="39" borderId="18" xfId="0" applyNumberFormat="1" applyFont="1" applyFill="1" applyBorder="1" applyAlignment="1">
      <alignment horizontal="right"/>
    </xf>
    <xf numFmtId="2" fontId="27" fillId="39" borderId="18" xfId="0" applyNumberFormat="1" applyFont="1" applyFill="1" applyBorder="1" applyAlignment="1">
      <alignment horizontal="right"/>
    </xf>
    <xf numFmtId="2" fontId="20" fillId="39" borderId="18" xfId="0" applyNumberFormat="1" applyFont="1" applyFill="1" applyBorder="1" applyAlignment="1">
      <alignment horizontal="right"/>
    </xf>
    <xf numFmtId="2" fontId="0" fillId="39" borderId="18" xfId="0" applyNumberFormat="1" applyFont="1" applyFill="1" applyBorder="1" applyAlignment="1">
      <alignment/>
    </xf>
    <xf numFmtId="1" fontId="26" fillId="39" borderId="18" xfId="0" applyNumberFormat="1" applyFont="1" applyFill="1" applyBorder="1" applyAlignment="1">
      <alignment horizontal="right"/>
    </xf>
    <xf numFmtId="1" fontId="25" fillId="39" borderId="18" xfId="0" applyNumberFormat="1" applyFont="1" applyFill="1" applyBorder="1" applyAlignment="1">
      <alignment horizontal="right"/>
    </xf>
    <xf numFmtId="2" fontId="26" fillId="39" borderId="18" xfId="0" applyNumberFormat="1" applyFont="1" applyFill="1" applyBorder="1" applyAlignment="1">
      <alignment horizontal="right"/>
    </xf>
    <xf numFmtId="1" fontId="0" fillId="39" borderId="18" xfId="0" applyNumberFormat="1" applyFont="1" applyFill="1" applyBorder="1" applyAlignment="1">
      <alignment/>
    </xf>
    <xf numFmtId="1" fontId="20" fillId="39" borderId="18" xfId="0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0" fontId="20" fillId="39" borderId="19" xfId="0" applyFont="1" applyFill="1" applyBorder="1" applyAlignment="1">
      <alignment horizontal="right"/>
    </xf>
    <xf numFmtId="1" fontId="20" fillId="39" borderId="19" xfId="0" applyNumberFormat="1" applyFont="1" applyFill="1" applyBorder="1" applyAlignment="1">
      <alignment horizontal="right"/>
    </xf>
    <xf numFmtId="0" fontId="20" fillId="39" borderId="13" xfId="0" applyFont="1" applyFill="1" applyBorder="1" applyAlignment="1">
      <alignment horizontal="right"/>
    </xf>
    <xf numFmtId="0" fontId="26" fillId="39" borderId="13" xfId="0" applyNumberFormat="1" applyFont="1" applyFill="1" applyBorder="1" applyAlignment="1">
      <alignment wrapText="1"/>
    </xf>
    <xf numFmtId="2" fontId="26" fillId="39" borderId="13" xfId="0" applyNumberFormat="1" applyFont="1" applyFill="1" applyBorder="1" applyAlignment="1">
      <alignment horizontal="right"/>
    </xf>
    <xf numFmtId="2" fontId="27" fillId="39" borderId="13" xfId="0" applyNumberFormat="1" applyFont="1" applyFill="1" applyBorder="1" applyAlignment="1">
      <alignment horizontal="right"/>
    </xf>
    <xf numFmtId="2" fontId="20" fillId="39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/>
    </xf>
    <xf numFmtId="1" fontId="26" fillId="39" borderId="13" xfId="0" applyNumberFormat="1" applyFont="1" applyFill="1" applyBorder="1" applyAlignment="1">
      <alignment horizontal="right"/>
    </xf>
    <xf numFmtId="1" fontId="25" fillId="39" borderId="13" xfId="0" applyNumberFormat="1" applyFont="1" applyFill="1" applyBorder="1" applyAlignment="1">
      <alignment horizontal="right"/>
    </xf>
    <xf numFmtId="2" fontId="26" fillId="39" borderId="13" xfId="0" applyNumberFormat="1" applyFont="1" applyFill="1" applyBorder="1" applyAlignment="1">
      <alignment horizontal="right"/>
    </xf>
    <xf numFmtId="1" fontId="0" fillId="39" borderId="13" xfId="0" applyNumberFormat="1" applyFont="1" applyFill="1" applyBorder="1" applyAlignment="1">
      <alignment/>
    </xf>
    <xf numFmtId="1" fontId="20" fillId="39" borderId="13" xfId="0" applyNumberFormat="1" applyFont="1" applyFill="1" applyBorder="1" applyAlignment="1">
      <alignment horizontal="right"/>
    </xf>
    <xf numFmtId="0" fontId="33" fillId="0" borderId="0" xfId="0" applyFont="1" applyAlignment="1">
      <alignment horizontal="left"/>
    </xf>
    <xf numFmtId="1" fontId="10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2" fontId="39" fillId="37" borderId="14" xfId="0" applyNumberFormat="1" applyFont="1" applyFill="1" applyBorder="1" applyAlignment="1">
      <alignment horizontal="right"/>
    </xf>
    <xf numFmtId="2" fontId="39" fillId="38" borderId="14" xfId="0" applyNumberFormat="1" applyFont="1" applyFill="1" applyBorder="1" applyAlignment="1">
      <alignment horizontal="right"/>
    </xf>
    <xf numFmtId="2" fontId="40" fillId="40" borderId="14" xfId="0" applyNumberFormat="1" applyFont="1" applyFill="1" applyBorder="1" applyAlignment="1">
      <alignment horizontal="right"/>
    </xf>
    <xf numFmtId="2" fontId="39" fillId="39" borderId="14" xfId="0" applyNumberFormat="1" applyFont="1" applyFill="1" applyBorder="1" applyAlignment="1">
      <alignment horizontal="right"/>
    </xf>
    <xf numFmtId="2" fontId="40" fillId="34" borderId="14" xfId="0" applyNumberFormat="1" applyFont="1" applyFill="1" applyBorder="1" applyAlignment="1">
      <alignment horizontal="right"/>
    </xf>
    <xf numFmtId="0" fontId="14" fillId="40" borderId="14" xfId="0" applyFont="1" applyFill="1" applyBorder="1" applyAlignment="1">
      <alignment/>
    </xf>
    <xf numFmtId="0" fontId="22" fillId="40" borderId="13" xfId="0" applyFont="1" applyFill="1" applyBorder="1" applyAlignment="1">
      <alignment/>
    </xf>
    <xf numFmtId="0" fontId="22" fillId="40" borderId="13" xfId="0" applyFont="1" applyFill="1" applyBorder="1" applyAlignment="1">
      <alignment horizontal="right"/>
    </xf>
    <xf numFmtId="0" fontId="22" fillId="40" borderId="13" xfId="0" applyFont="1" applyFill="1" applyBorder="1" applyAlignment="1">
      <alignment horizontal="right"/>
    </xf>
    <xf numFmtId="0" fontId="20" fillId="37" borderId="14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0" fontId="17" fillId="37" borderId="14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textRotation="90" wrapText="1"/>
    </xf>
    <xf numFmtId="0" fontId="3" fillId="36" borderId="10" xfId="0" applyNumberFormat="1" applyFont="1" applyFill="1" applyBorder="1" applyAlignment="1">
      <alignment horizontal="center" textRotation="90" wrapText="1"/>
    </xf>
    <xf numFmtId="0" fontId="3" fillId="40" borderId="10" xfId="0" applyNumberFormat="1" applyFont="1" applyFill="1" applyBorder="1" applyAlignment="1">
      <alignment horizontal="center" textRotation="90" wrapText="1"/>
    </xf>
    <xf numFmtId="1" fontId="13" fillId="33" borderId="10" xfId="0" applyNumberFormat="1" applyFont="1" applyFill="1" applyBorder="1" applyAlignment="1">
      <alignment horizontal="center" wrapText="1"/>
    </xf>
    <xf numFmtId="1" fontId="13" fillId="35" borderId="10" xfId="0" applyNumberFormat="1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1" fontId="13" fillId="40" borderId="10" xfId="0" applyNumberFormat="1" applyFont="1" applyFill="1" applyBorder="1" applyAlignment="1">
      <alignment horizontal="center" wrapText="1"/>
    </xf>
    <xf numFmtId="1" fontId="37" fillId="33" borderId="10" xfId="0" applyNumberFormat="1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1" fontId="19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0" fontId="8" fillId="34" borderId="20" xfId="0" applyNumberFormat="1" applyFont="1" applyFill="1" applyBorder="1" applyAlignment="1">
      <alignment horizontal="center" textRotation="90" wrapText="1"/>
    </xf>
    <xf numFmtId="2" fontId="8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" fontId="28" fillId="33" borderId="10" xfId="0" applyNumberFormat="1" applyFont="1" applyFill="1" applyBorder="1" applyAlignment="1">
      <alignment horizontal="center" wrapText="1"/>
    </xf>
    <xf numFmtId="1" fontId="11" fillId="34" borderId="0" xfId="0" applyNumberFormat="1" applyFont="1" applyFill="1" applyAlignment="1">
      <alignment/>
    </xf>
    <xf numFmtId="1" fontId="33" fillId="33" borderId="0" xfId="0" applyNumberFormat="1" applyFont="1" applyFill="1" applyAlignment="1">
      <alignment/>
    </xf>
    <xf numFmtId="2" fontId="42" fillId="37" borderId="14" xfId="0" applyNumberFormat="1" applyFont="1" applyFill="1" applyBorder="1" applyAlignment="1">
      <alignment horizontal="right"/>
    </xf>
    <xf numFmtId="2" fontId="41" fillId="40" borderId="11" xfId="0" applyNumberFormat="1" applyFont="1" applyFill="1" applyBorder="1" applyAlignment="1">
      <alignment wrapText="1"/>
    </xf>
    <xf numFmtId="1" fontId="30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7" borderId="14" xfId="48" applyFont="1" applyFill="1" applyBorder="1">
      <alignment/>
      <protection/>
    </xf>
    <xf numFmtId="0" fontId="5" fillId="37" borderId="13" xfId="48" applyFont="1" applyFill="1" applyBorder="1">
      <alignment/>
      <protection/>
    </xf>
    <xf numFmtId="0" fontId="13" fillId="40" borderId="13" xfId="48" applyFont="1" applyFill="1" applyBorder="1">
      <alignment/>
      <protection/>
    </xf>
    <xf numFmtId="0" fontId="34" fillId="39" borderId="13" xfId="48" applyFont="1" applyFill="1" applyBorder="1">
      <alignment/>
      <protection/>
    </xf>
    <xf numFmtId="0" fontId="34" fillId="37" borderId="13" xfId="48" applyFont="1" applyFill="1" applyBorder="1">
      <alignment/>
      <protection/>
    </xf>
    <xf numFmtId="0" fontId="2" fillId="39" borderId="13" xfId="0" applyFont="1" applyFill="1" applyBorder="1" applyAlignment="1">
      <alignment/>
    </xf>
    <xf numFmtId="0" fontId="2" fillId="35" borderId="16" xfId="48" applyFont="1" applyFill="1" applyBorder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3" fillId="38" borderId="13" xfId="48" applyFont="1" applyFill="1" applyBorder="1">
      <alignment/>
      <protection/>
    </xf>
    <xf numFmtId="0" fontId="2" fillId="39" borderId="15" xfId="0" applyFont="1" applyFill="1" applyBorder="1" applyAlignment="1">
      <alignment/>
    </xf>
    <xf numFmtId="0" fontId="20" fillId="39" borderId="15" xfId="0" applyFont="1" applyFill="1" applyBorder="1" applyAlignment="1">
      <alignment horizontal="right"/>
    </xf>
    <xf numFmtId="0" fontId="26" fillId="39" borderId="15" xfId="0" applyNumberFormat="1" applyFont="1" applyFill="1" applyBorder="1" applyAlignment="1">
      <alignment wrapText="1"/>
    </xf>
    <xf numFmtId="2" fontId="26" fillId="39" borderId="15" xfId="0" applyNumberFormat="1" applyFont="1" applyFill="1" applyBorder="1" applyAlignment="1">
      <alignment horizontal="right"/>
    </xf>
    <xf numFmtId="2" fontId="27" fillId="39" borderId="15" xfId="0" applyNumberFormat="1" applyFont="1" applyFill="1" applyBorder="1" applyAlignment="1">
      <alignment horizontal="right"/>
    </xf>
    <xf numFmtId="2" fontId="20" fillId="39" borderId="15" xfId="0" applyNumberFormat="1" applyFont="1" applyFill="1" applyBorder="1" applyAlignment="1">
      <alignment horizontal="right"/>
    </xf>
    <xf numFmtId="2" fontId="0" fillId="39" borderId="15" xfId="0" applyNumberFormat="1" applyFont="1" applyFill="1" applyBorder="1" applyAlignment="1">
      <alignment/>
    </xf>
    <xf numFmtId="1" fontId="26" fillId="39" borderId="15" xfId="0" applyNumberFormat="1" applyFont="1" applyFill="1" applyBorder="1" applyAlignment="1">
      <alignment horizontal="right"/>
    </xf>
    <xf numFmtId="1" fontId="25" fillId="39" borderId="15" xfId="0" applyNumberFormat="1" applyFont="1" applyFill="1" applyBorder="1" applyAlignment="1">
      <alignment horizontal="right"/>
    </xf>
    <xf numFmtId="2" fontId="26" fillId="39" borderId="15" xfId="0" applyNumberFormat="1" applyFont="1" applyFill="1" applyBorder="1" applyAlignment="1">
      <alignment horizontal="right"/>
    </xf>
    <xf numFmtId="1" fontId="0" fillId="39" borderId="15" xfId="0" applyNumberFormat="1" applyFont="1" applyFill="1" applyBorder="1" applyAlignment="1">
      <alignment/>
    </xf>
    <xf numFmtId="1" fontId="20" fillId="39" borderId="15" xfId="0" applyNumberFormat="1" applyFont="1" applyFill="1" applyBorder="1" applyAlignment="1">
      <alignment horizontal="right"/>
    </xf>
    <xf numFmtId="2" fontId="39" fillId="39" borderId="19" xfId="0" applyNumberFormat="1" applyFont="1" applyFill="1" applyBorder="1" applyAlignment="1">
      <alignment horizontal="right"/>
    </xf>
    <xf numFmtId="2" fontId="39" fillId="39" borderId="13" xfId="0" applyNumberFormat="1" applyFont="1" applyFill="1" applyBorder="1" applyAlignment="1">
      <alignment horizontal="right"/>
    </xf>
    <xf numFmtId="0" fontId="2" fillId="39" borderId="13" xfId="0" applyFont="1" applyFill="1" applyBorder="1" applyAlignment="1">
      <alignment wrapText="1"/>
    </xf>
    <xf numFmtId="1" fontId="2" fillId="33" borderId="0" xfId="0" applyNumberFormat="1" applyFont="1" applyFill="1" applyAlignment="1">
      <alignment/>
    </xf>
    <xf numFmtId="1" fontId="44" fillId="37" borderId="14" xfId="0" applyNumberFormat="1" applyFont="1" applyFill="1" applyBorder="1" applyAlignment="1">
      <alignment horizontal="right"/>
    </xf>
    <xf numFmtId="1" fontId="44" fillId="38" borderId="14" xfId="0" applyNumberFormat="1" applyFont="1" applyFill="1" applyBorder="1" applyAlignment="1">
      <alignment horizontal="right"/>
    </xf>
    <xf numFmtId="1" fontId="44" fillId="40" borderId="14" xfId="0" applyNumberFormat="1" applyFont="1" applyFill="1" applyBorder="1" applyAlignment="1">
      <alignment horizontal="right"/>
    </xf>
    <xf numFmtId="1" fontId="44" fillId="39" borderId="14" xfId="0" applyNumberFormat="1" applyFont="1" applyFill="1" applyBorder="1" applyAlignment="1">
      <alignment horizontal="right"/>
    </xf>
    <xf numFmtId="1" fontId="44" fillId="41" borderId="14" xfId="0" applyNumberFormat="1" applyFont="1" applyFill="1" applyBorder="1" applyAlignment="1">
      <alignment horizontal="right"/>
    </xf>
    <xf numFmtId="1" fontId="44" fillId="39" borderId="13" xfId="0" applyNumberFormat="1" applyFont="1" applyFill="1" applyBorder="1" applyAlignment="1">
      <alignment horizontal="right"/>
    </xf>
    <xf numFmtId="1" fontId="44" fillId="39" borderId="19" xfId="0" applyNumberFormat="1" applyFont="1" applyFill="1" applyBorder="1" applyAlignment="1">
      <alignment horizontal="right"/>
    </xf>
    <xf numFmtId="1" fontId="7" fillId="33" borderId="0" xfId="0" applyNumberFormat="1" applyFont="1" applyFill="1" applyAlignment="1">
      <alignment/>
    </xf>
    <xf numFmtId="1" fontId="15" fillId="42" borderId="11" xfId="0" applyNumberFormat="1" applyFont="1" applyFill="1" applyBorder="1" applyAlignment="1">
      <alignment wrapText="1"/>
    </xf>
    <xf numFmtId="1" fontId="20" fillId="42" borderId="14" xfId="0" applyNumberFormat="1" applyFont="1" applyFill="1" applyBorder="1" applyAlignment="1">
      <alignment horizontal="right"/>
    </xf>
    <xf numFmtId="0" fontId="5" fillId="40" borderId="13" xfId="48" applyFont="1" applyFill="1" applyBorder="1">
      <alignment/>
      <protection/>
    </xf>
    <xf numFmtId="2" fontId="14" fillId="40" borderId="10" xfId="0" applyNumberFormat="1" applyFont="1" applyFill="1" applyBorder="1" applyAlignment="1">
      <alignment horizontal="center" textRotation="90" wrapText="1"/>
    </xf>
    <xf numFmtId="2" fontId="0" fillId="40" borderId="0" xfId="0" applyNumberFormat="1" applyFont="1" applyFill="1" applyAlignment="1">
      <alignment/>
    </xf>
    <xf numFmtId="2" fontId="9" fillId="40" borderId="10" xfId="0" applyNumberFormat="1" applyFont="1" applyFill="1" applyBorder="1" applyAlignment="1">
      <alignment horizontal="center" wrapText="1"/>
    </xf>
    <xf numFmtId="1" fontId="2" fillId="42" borderId="10" xfId="0" applyNumberFormat="1" applyFont="1" applyFill="1" applyBorder="1" applyAlignment="1">
      <alignment horizontal="center" wrapText="1"/>
    </xf>
    <xf numFmtId="2" fontId="28" fillId="40" borderId="14" xfId="0" applyNumberFormat="1" applyFont="1" applyFill="1" applyBorder="1" applyAlignment="1">
      <alignment horizontal="right"/>
    </xf>
    <xf numFmtId="2" fontId="28" fillId="34" borderId="14" xfId="0" applyNumberFormat="1" applyFont="1" applyFill="1" applyBorder="1" applyAlignment="1">
      <alignment horizontal="right"/>
    </xf>
    <xf numFmtId="2" fontId="26" fillId="39" borderId="19" xfId="0" applyNumberFormat="1" applyFont="1" applyFill="1" applyBorder="1" applyAlignment="1">
      <alignment horizontal="right"/>
    </xf>
    <xf numFmtId="2" fontId="40" fillId="40" borderId="10" xfId="0" applyNumberFormat="1" applyFont="1" applyFill="1" applyBorder="1" applyAlignment="1">
      <alignment horizontal="center" wrapText="1"/>
    </xf>
    <xf numFmtId="2" fontId="3" fillId="40" borderId="11" xfId="0" applyNumberFormat="1" applyFont="1" applyFill="1" applyBorder="1" applyAlignment="1">
      <alignment wrapText="1"/>
    </xf>
    <xf numFmtId="2" fontId="10" fillId="40" borderId="0" xfId="0" applyNumberFormat="1" applyFont="1" applyFill="1" applyAlignment="1">
      <alignment/>
    </xf>
    <xf numFmtId="0" fontId="10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4" fillId="39" borderId="13" xfId="0" applyFont="1" applyFill="1" applyBorder="1" applyAlignment="1">
      <alignment/>
    </xf>
    <xf numFmtId="2" fontId="26" fillId="37" borderId="13" xfId="0" applyNumberFormat="1" applyFont="1" applyFill="1" applyBorder="1" applyAlignment="1">
      <alignment horizontal="right"/>
    </xf>
    <xf numFmtId="2" fontId="39" fillId="37" borderId="13" xfId="0" applyNumberFormat="1" applyFont="1" applyFill="1" applyBorder="1" applyAlignment="1">
      <alignment horizontal="right"/>
    </xf>
    <xf numFmtId="2" fontId="42" fillId="37" borderId="13" xfId="0" applyNumberFormat="1" applyFont="1" applyFill="1" applyBorder="1" applyAlignment="1">
      <alignment horizontal="right"/>
    </xf>
    <xf numFmtId="2" fontId="26" fillId="37" borderId="13" xfId="0" applyNumberFormat="1" applyFont="1" applyFill="1" applyBorder="1" applyAlignment="1">
      <alignment horizontal="right"/>
    </xf>
    <xf numFmtId="0" fontId="14" fillId="38" borderId="13" xfId="0" applyFont="1" applyFill="1" applyBorder="1" applyAlignment="1">
      <alignment/>
    </xf>
    <xf numFmtId="0" fontId="2" fillId="38" borderId="13" xfId="0" applyFont="1" applyFill="1" applyBorder="1" applyAlignment="1">
      <alignment wrapText="1"/>
    </xf>
    <xf numFmtId="0" fontId="20" fillId="38" borderId="13" xfId="0" applyFont="1" applyFill="1" applyBorder="1" applyAlignment="1">
      <alignment horizontal="right"/>
    </xf>
    <xf numFmtId="0" fontId="26" fillId="38" borderId="13" xfId="0" applyNumberFormat="1" applyFont="1" applyFill="1" applyBorder="1" applyAlignment="1">
      <alignment wrapText="1"/>
    </xf>
    <xf numFmtId="2" fontId="26" fillId="38" borderId="13" xfId="0" applyNumberFormat="1" applyFont="1" applyFill="1" applyBorder="1" applyAlignment="1">
      <alignment horizontal="right"/>
    </xf>
    <xf numFmtId="2" fontId="27" fillId="38" borderId="13" xfId="0" applyNumberFormat="1" applyFont="1" applyFill="1" applyBorder="1" applyAlignment="1">
      <alignment horizontal="right"/>
    </xf>
    <xf numFmtId="2" fontId="20" fillId="38" borderId="13" xfId="0" applyNumberFormat="1" applyFont="1" applyFill="1" applyBorder="1" applyAlignment="1">
      <alignment horizontal="right"/>
    </xf>
    <xf numFmtId="2" fontId="0" fillId="38" borderId="13" xfId="0" applyNumberFormat="1" applyFont="1" applyFill="1" applyBorder="1" applyAlignment="1">
      <alignment/>
    </xf>
    <xf numFmtId="1" fontId="26" fillId="38" borderId="13" xfId="0" applyNumberFormat="1" applyFont="1" applyFill="1" applyBorder="1" applyAlignment="1">
      <alignment horizontal="right"/>
    </xf>
    <xf numFmtId="1" fontId="25" fillId="38" borderId="13" xfId="0" applyNumberFormat="1" applyFont="1" applyFill="1" applyBorder="1" applyAlignment="1">
      <alignment horizontal="right"/>
    </xf>
    <xf numFmtId="2" fontId="26" fillId="38" borderId="13" xfId="0" applyNumberFormat="1" applyFont="1" applyFill="1" applyBorder="1" applyAlignment="1">
      <alignment horizontal="right"/>
    </xf>
    <xf numFmtId="1" fontId="0" fillId="38" borderId="13" xfId="0" applyNumberFormat="1" applyFont="1" applyFill="1" applyBorder="1" applyAlignment="1">
      <alignment/>
    </xf>
    <xf numFmtId="1" fontId="20" fillId="38" borderId="13" xfId="0" applyNumberFormat="1" applyFont="1" applyFill="1" applyBorder="1" applyAlignment="1">
      <alignment horizontal="right"/>
    </xf>
    <xf numFmtId="2" fontId="39" fillId="38" borderId="13" xfId="0" applyNumberFormat="1" applyFont="1" applyFill="1" applyBorder="1" applyAlignment="1">
      <alignment horizontal="right"/>
    </xf>
    <xf numFmtId="2" fontId="42" fillId="38" borderId="13" xfId="0" applyNumberFormat="1" applyFont="1" applyFill="1" applyBorder="1" applyAlignment="1">
      <alignment horizontal="right"/>
    </xf>
    <xf numFmtId="1" fontId="44" fillId="38" borderId="13" xfId="0" applyNumberFormat="1" applyFont="1" applyFill="1" applyBorder="1" applyAlignment="1">
      <alignment horizontal="right"/>
    </xf>
    <xf numFmtId="2" fontId="6" fillId="41" borderId="0" xfId="0" applyNumberFormat="1" applyFont="1" applyFill="1" applyAlignment="1">
      <alignment/>
    </xf>
    <xf numFmtId="2" fontId="14" fillId="41" borderId="10" xfId="0" applyNumberFormat="1" applyFont="1" applyFill="1" applyBorder="1" applyAlignment="1">
      <alignment horizontal="center" textRotation="90" wrapText="1"/>
    </xf>
    <xf numFmtId="2" fontId="14" fillId="41" borderId="11" xfId="0" applyNumberFormat="1" applyFont="1" applyFill="1" applyBorder="1" applyAlignment="1">
      <alignment wrapText="1"/>
    </xf>
    <xf numFmtId="2" fontId="0" fillId="41" borderId="0" xfId="0" applyNumberFormat="1" applyFont="1" applyFill="1" applyAlignment="1">
      <alignment/>
    </xf>
    <xf numFmtId="2" fontId="26" fillId="40" borderId="14" xfId="0" applyNumberFormat="1" applyFont="1" applyFill="1" applyBorder="1" applyAlignment="1">
      <alignment horizontal="right"/>
    </xf>
    <xf numFmtId="2" fontId="6" fillId="34" borderId="0" xfId="0" applyNumberFormat="1" applyFont="1" applyFill="1" applyAlignment="1">
      <alignment/>
    </xf>
    <xf numFmtId="2" fontId="14" fillId="34" borderId="10" xfId="0" applyNumberFormat="1" applyFont="1" applyFill="1" applyBorder="1" applyAlignment="1">
      <alignment horizontal="center" textRotation="90" wrapText="1"/>
    </xf>
    <xf numFmtId="2" fontId="26" fillId="34" borderId="14" xfId="0" applyNumberFormat="1" applyFont="1" applyFill="1" applyBorder="1" applyAlignment="1">
      <alignment horizontal="right"/>
    </xf>
    <xf numFmtId="2" fontId="14" fillId="34" borderId="11" xfId="0" applyNumberFormat="1" applyFont="1" applyFill="1" applyBorder="1" applyAlignment="1">
      <alignment wrapText="1"/>
    </xf>
    <xf numFmtId="2" fontId="0" fillId="34" borderId="0" xfId="0" applyNumberFormat="1" applyFont="1" applyFill="1" applyAlignment="1">
      <alignment/>
    </xf>
    <xf numFmtId="2" fontId="8" fillId="34" borderId="14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textRotation="90" wrapText="1"/>
    </xf>
    <xf numFmtId="2" fontId="39" fillId="0" borderId="1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wrapText="1"/>
    </xf>
    <xf numFmtId="2" fontId="10" fillId="0" borderId="0" xfId="0" applyNumberFormat="1" applyFont="1" applyFill="1" applyAlignment="1">
      <alignment/>
    </xf>
    <xf numFmtId="1" fontId="8" fillId="33" borderId="0" xfId="0" applyNumberFormat="1" applyFont="1" applyFill="1" applyAlignment="1">
      <alignment textRotation="90"/>
    </xf>
    <xf numFmtId="1" fontId="9" fillId="35" borderId="10" xfId="0" applyNumberFormat="1" applyFont="1" applyFill="1" applyBorder="1" applyAlignment="1">
      <alignment horizontal="center" textRotation="90" wrapText="1"/>
    </xf>
    <xf numFmtId="1" fontId="39" fillId="35" borderId="14" xfId="0" applyNumberFormat="1" applyFont="1" applyFill="1" applyBorder="1" applyAlignment="1">
      <alignment horizontal="right" textRotation="90"/>
    </xf>
    <xf numFmtId="1" fontId="39" fillId="35" borderId="13" xfId="0" applyNumberFormat="1" applyFont="1" applyFill="1" applyBorder="1" applyAlignment="1">
      <alignment horizontal="right" textRotation="90"/>
    </xf>
    <xf numFmtId="1" fontId="39" fillId="35" borderId="19" xfId="0" applyNumberFormat="1" applyFont="1" applyFill="1" applyBorder="1" applyAlignment="1">
      <alignment horizontal="right" textRotation="90"/>
    </xf>
    <xf numFmtId="1" fontId="39" fillId="38" borderId="13" xfId="0" applyNumberFormat="1" applyFont="1" applyFill="1" applyBorder="1" applyAlignment="1">
      <alignment horizontal="right" textRotation="90"/>
    </xf>
    <xf numFmtId="1" fontId="3" fillId="35" borderId="11" xfId="0" applyNumberFormat="1" applyFont="1" applyFill="1" applyBorder="1" applyAlignment="1">
      <alignment textRotation="90" wrapText="1"/>
    </xf>
    <xf numFmtId="1" fontId="10" fillId="33" borderId="0" xfId="0" applyNumberFormat="1" applyFont="1" applyFill="1" applyAlignment="1">
      <alignment textRotation="90"/>
    </xf>
    <xf numFmtId="1" fontId="6" fillId="33" borderId="0" xfId="0" applyNumberFormat="1" applyFont="1" applyFill="1" applyAlignment="1">
      <alignment textRotation="90"/>
    </xf>
    <xf numFmtId="1" fontId="13" fillId="35" borderId="10" xfId="0" applyNumberFormat="1" applyFont="1" applyFill="1" applyBorder="1" applyAlignment="1">
      <alignment horizontal="center" textRotation="90" wrapText="1"/>
    </xf>
    <xf numFmtId="1" fontId="20" fillId="35" borderId="14" xfId="0" applyNumberFormat="1" applyFont="1" applyFill="1" applyBorder="1" applyAlignment="1">
      <alignment horizontal="right" textRotation="90"/>
    </xf>
    <xf numFmtId="1" fontId="20" fillId="35" borderId="13" xfId="0" applyNumberFormat="1" applyFont="1" applyFill="1" applyBorder="1" applyAlignment="1">
      <alignment horizontal="right" textRotation="90"/>
    </xf>
    <xf numFmtId="1" fontId="20" fillId="38" borderId="13" xfId="0" applyNumberFormat="1" applyFont="1" applyFill="1" applyBorder="1" applyAlignment="1">
      <alignment horizontal="right" textRotation="90"/>
    </xf>
    <xf numFmtId="1" fontId="14" fillId="35" borderId="11" xfId="0" applyNumberFormat="1" applyFont="1" applyFill="1" applyBorder="1" applyAlignment="1">
      <alignment textRotation="90" wrapText="1"/>
    </xf>
    <xf numFmtId="1" fontId="0" fillId="33" borderId="0" xfId="0" applyNumberFormat="1" applyFont="1" applyFill="1" applyAlignment="1">
      <alignment textRotation="90"/>
    </xf>
    <xf numFmtId="2" fontId="14" fillId="39" borderId="10" xfId="0" applyNumberFormat="1" applyFont="1" applyFill="1" applyBorder="1" applyAlignment="1">
      <alignment horizontal="center" textRotation="90" wrapText="1"/>
    </xf>
    <xf numFmtId="2" fontId="45" fillId="39" borderId="14" xfId="0" applyNumberFormat="1" applyFont="1" applyFill="1" applyBorder="1" applyAlignment="1">
      <alignment horizontal="right"/>
    </xf>
    <xf numFmtId="2" fontId="45" fillId="39" borderId="13" xfId="0" applyNumberFormat="1" applyFont="1" applyFill="1" applyBorder="1" applyAlignment="1">
      <alignment horizontal="right"/>
    </xf>
    <xf numFmtId="2" fontId="45" fillId="38" borderId="13" xfId="0" applyNumberFormat="1" applyFont="1" applyFill="1" applyBorder="1" applyAlignment="1">
      <alignment horizontal="right"/>
    </xf>
    <xf numFmtId="1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N2" sqref="BN2"/>
    </sheetView>
  </sheetViews>
  <sheetFormatPr defaultColWidth="9.140625" defaultRowHeight="12.75"/>
  <cols>
    <col min="1" max="1" width="3.28125" style="26" customWidth="1"/>
    <col min="2" max="2" width="23.8515625" style="206" customWidth="1"/>
    <col min="3" max="3" width="3.28125" style="0" customWidth="1"/>
    <col min="4" max="4" width="4.140625" style="0" customWidth="1"/>
    <col min="5" max="5" width="4.28125" style="0" customWidth="1"/>
    <col min="6" max="6" width="4.8515625" style="0" hidden="1" customWidth="1"/>
    <col min="7" max="7" width="8.57421875" style="0" hidden="1" customWidth="1"/>
    <col min="8" max="8" width="5.8515625" style="0" hidden="1" customWidth="1"/>
    <col min="9" max="9" width="6.8515625" style="2" hidden="1" customWidth="1"/>
    <col min="10" max="10" width="7.57421875" style="1" hidden="1" customWidth="1"/>
    <col min="11" max="11" width="7.8515625" style="25" hidden="1" customWidth="1"/>
    <col min="12" max="12" width="7.57421875" style="1" hidden="1" customWidth="1"/>
    <col min="13" max="13" width="7.57421875" style="7" hidden="1" customWidth="1"/>
    <col min="14" max="14" width="8.57421875" style="8" hidden="1" customWidth="1"/>
    <col min="15" max="15" width="7.421875" style="9" hidden="1" customWidth="1"/>
    <col min="16" max="16" width="8.8515625" style="9" hidden="1" customWidth="1"/>
    <col min="17" max="18" width="7.140625" style="9" hidden="1" customWidth="1"/>
    <col min="19" max="19" width="7.28125" style="9" hidden="1" customWidth="1"/>
    <col min="20" max="20" width="7.421875" style="9" hidden="1" customWidth="1"/>
    <col min="21" max="22" width="7.28125" style="9" hidden="1" customWidth="1"/>
    <col min="23" max="23" width="8.57421875" style="9" hidden="1" customWidth="1"/>
    <col min="24" max="26" width="8.421875" style="9" hidden="1" customWidth="1"/>
    <col min="27" max="27" width="6.28125" style="9" hidden="1" customWidth="1"/>
    <col min="28" max="28" width="6.421875" style="20" hidden="1" customWidth="1"/>
    <col min="29" max="29" width="6.00390625" style="20" hidden="1" customWidth="1"/>
    <col min="30" max="30" width="6.57421875" style="20" hidden="1" customWidth="1"/>
    <col min="31" max="31" width="7.421875" style="97" hidden="1" customWidth="1"/>
    <col min="32" max="34" width="7.28125" style="9" hidden="1" customWidth="1"/>
    <col min="35" max="35" width="7.57421875" style="35" hidden="1" customWidth="1"/>
    <col min="36" max="36" width="5.28125" style="20" hidden="1" customWidth="1"/>
    <col min="37" max="37" width="6.8515625" style="20" hidden="1" customWidth="1"/>
    <col min="38" max="38" width="9.00390625" style="108" hidden="1" customWidth="1"/>
    <col min="39" max="39" width="6.28125" style="123" hidden="1" customWidth="1"/>
    <col min="40" max="40" width="5.28125" style="239" customWidth="1"/>
    <col min="41" max="42" width="5.28125" style="239" hidden="1" customWidth="1"/>
    <col min="43" max="44" width="8.28125" style="239" hidden="1" customWidth="1"/>
    <col min="45" max="45" width="8.57421875" style="239" hidden="1" customWidth="1"/>
    <col min="46" max="46" width="9.421875" style="274" hidden="1" customWidth="1"/>
    <col min="47" max="47" width="6.421875" style="286" hidden="1" customWidth="1"/>
    <col min="48" max="49" width="8.421875" style="280" hidden="1" customWidth="1"/>
    <col min="50" max="50" width="6.7109375" style="247" customWidth="1"/>
    <col min="51" max="51" width="7.421875" style="183" customWidth="1"/>
    <col min="52" max="52" width="6.7109375" style="183" customWidth="1"/>
    <col min="53" max="53" width="3.140625" style="294" customWidth="1"/>
    <col min="54" max="54" width="7.57421875" style="156" customWidth="1"/>
    <col min="55" max="55" width="6.140625" style="156" customWidth="1"/>
    <col min="56" max="56" width="7.57421875" style="156" customWidth="1"/>
    <col min="57" max="57" width="3.8515625" style="294" customWidth="1"/>
    <col min="58" max="58" width="8.57421875" style="190" customWidth="1"/>
    <col min="59" max="60" width="5.8515625" style="156" customWidth="1"/>
    <col min="61" max="61" width="3.57421875" style="301" customWidth="1"/>
    <col min="62" max="62" width="7.28125" style="186" customWidth="1"/>
    <col min="63" max="63" width="6.140625" style="20" customWidth="1"/>
    <col min="64" max="64" width="6.140625" style="234" customWidth="1"/>
    <col min="65" max="65" width="7.57421875" style="307" customWidth="1"/>
    <col min="66" max="66" width="7.421875" style="20" customWidth="1"/>
    <col min="67" max="67" width="4.7109375" style="5" customWidth="1"/>
    <col min="68" max="68" width="7.8515625" style="5" customWidth="1"/>
    <col min="69" max="69" width="3.8515625" style="5" customWidth="1"/>
    <col min="70" max="71" width="17.7109375" style="4" customWidth="1"/>
    <col min="72" max="72" width="8.8515625" style="4" customWidth="1"/>
  </cols>
  <sheetData>
    <row r="1" spans="1:69" s="3" customFormat="1" ht="16.5" thickBot="1">
      <c r="A1" s="127" t="s">
        <v>109</v>
      </c>
      <c r="B1" s="19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3"/>
      <c r="AD1" s="33"/>
      <c r="AE1" s="33"/>
      <c r="AF1" s="32"/>
      <c r="AG1" s="32"/>
      <c r="AH1" s="32"/>
      <c r="AI1" s="33"/>
      <c r="AJ1" s="33"/>
      <c r="AK1" s="33"/>
      <c r="AL1" s="33"/>
      <c r="AM1" s="124"/>
      <c r="AN1" s="32"/>
      <c r="AO1" s="32"/>
      <c r="AP1" s="32"/>
      <c r="AQ1" s="32"/>
      <c r="AR1" s="32"/>
      <c r="AS1" s="32"/>
      <c r="AT1" s="271"/>
      <c r="AU1" s="282"/>
      <c r="AV1" s="276"/>
      <c r="AW1" s="276"/>
      <c r="AX1" s="182"/>
      <c r="AY1" s="182"/>
      <c r="AZ1" s="182"/>
      <c r="BA1" s="287"/>
      <c r="BB1" s="157"/>
      <c r="BC1" s="157"/>
      <c r="BD1" s="157"/>
      <c r="BE1" s="287"/>
      <c r="BF1" s="187"/>
      <c r="BG1" s="157"/>
      <c r="BH1" s="157"/>
      <c r="BI1" s="295"/>
      <c r="BJ1" s="184"/>
      <c r="BK1" s="33"/>
      <c r="BL1" s="226"/>
      <c r="BM1" s="306"/>
      <c r="BN1" s="33"/>
      <c r="BO1" s="126"/>
      <c r="BP1" s="126"/>
      <c r="BQ1" s="126"/>
    </row>
    <row r="2" spans="1:72" s="27" customFormat="1" ht="142.5" customHeight="1" thickBot="1">
      <c r="A2" s="11" t="s">
        <v>13</v>
      </c>
      <c r="B2" s="12" t="s">
        <v>51</v>
      </c>
      <c r="C2" s="13" t="s">
        <v>14</v>
      </c>
      <c r="D2" s="170" t="s">
        <v>42</v>
      </c>
      <c r="E2" s="170" t="s">
        <v>43</v>
      </c>
      <c r="F2" s="171" t="s">
        <v>47</v>
      </c>
      <c r="G2" s="171" t="s">
        <v>48</v>
      </c>
      <c r="H2" s="171" t="s">
        <v>49</v>
      </c>
      <c r="I2" s="6" t="s">
        <v>30</v>
      </c>
      <c r="J2" s="14" t="s">
        <v>26</v>
      </c>
      <c r="K2" s="14" t="s">
        <v>29</v>
      </c>
      <c r="L2" s="14" t="s">
        <v>27</v>
      </c>
      <c r="M2" s="14" t="s">
        <v>28</v>
      </c>
      <c r="N2" s="15" t="s">
        <v>46</v>
      </c>
      <c r="O2" s="16" t="s">
        <v>37</v>
      </c>
      <c r="P2" s="15" t="s">
        <v>39</v>
      </c>
      <c r="Q2" s="16" t="s">
        <v>31</v>
      </c>
      <c r="R2" s="16" t="s">
        <v>32</v>
      </c>
      <c r="S2" s="16" t="s">
        <v>33</v>
      </c>
      <c r="T2" s="16" t="s">
        <v>34</v>
      </c>
      <c r="U2" s="16" t="s">
        <v>35</v>
      </c>
      <c r="V2" s="16" t="s">
        <v>36</v>
      </c>
      <c r="W2" s="16" t="s">
        <v>36</v>
      </c>
      <c r="X2" s="16" t="s">
        <v>40</v>
      </c>
      <c r="Y2" s="16"/>
      <c r="Z2" s="16"/>
      <c r="AA2" s="172" t="s">
        <v>66</v>
      </c>
      <c r="AB2" s="173" t="s">
        <v>52</v>
      </c>
      <c r="AC2" s="173" t="s">
        <v>53</v>
      </c>
      <c r="AD2" s="173" t="s">
        <v>54</v>
      </c>
      <c r="AE2" s="174" t="s">
        <v>44</v>
      </c>
      <c r="AF2" s="171" t="s">
        <v>64</v>
      </c>
      <c r="AG2" s="171" t="s">
        <v>65</v>
      </c>
      <c r="AH2" s="175" t="s">
        <v>55</v>
      </c>
      <c r="AI2" s="173" t="s">
        <v>56</v>
      </c>
      <c r="AJ2" s="173" t="s">
        <v>57</v>
      </c>
      <c r="AK2" s="174" t="s">
        <v>45</v>
      </c>
      <c r="AL2" s="176"/>
      <c r="AM2" s="177" t="s">
        <v>58</v>
      </c>
      <c r="AN2" s="238" t="s">
        <v>84</v>
      </c>
      <c r="AO2" s="302" t="s">
        <v>88</v>
      </c>
      <c r="AP2" s="302" t="s">
        <v>98</v>
      </c>
      <c r="AQ2" s="238" t="s">
        <v>86</v>
      </c>
      <c r="AR2" s="238" t="s">
        <v>91</v>
      </c>
      <c r="AS2" s="238" t="s">
        <v>92</v>
      </c>
      <c r="AT2" s="272" t="s">
        <v>103</v>
      </c>
      <c r="AU2" s="283" t="s">
        <v>104</v>
      </c>
      <c r="AV2" s="277" t="s">
        <v>107</v>
      </c>
      <c r="AW2" s="277" t="s">
        <v>108</v>
      </c>
      <c r="AX2" s="245" t="s">
        <v>87</v>
      </c>
      <c r="AY2" s="240" t="s">
        <v>69</v>
      </c>
      <c r="AZ2" s="240" t="s">
        <v>70</v>
      </c>
      <c r="BA2" s="288" t="s">
        <v>79</v>
      </c>
      <c r="BB2" s="178" t="s">
        <v>71</v>
      </c>
      <c r="BC2" s="178" t="s">
        <v>72</v>
      </c>
      <c r="BD2" s="178" t="s">
        <v>73</v>
      </c>
      <c r="BE2" s="288" t="s">
        <v>45</v>
      </c>
      <c r="BF2" s="178" t="s">
        <v>74</v>
      </c>
      <c r="BG2" s="178" t="s">
        <v>75</v>
      </c>
      <c r="BH2" s="178" t="s">
        <v>76</v>
      </c>
      <c r="BI2" s="296" t="s">
        <v>78</v>
      </c>
      <c r="BJ2" s="185" t="s">
        <v>59</v>
      </c>
      <c r="BK2" s="179" t="s">
        <v>60</v>
      </c>
      <c r="BL2" s="180" t="s">
        <v>61</v>
      </c>
      <c r="BM2" s="174" t="s">
        <v>110</v>
      </c>
      <c r="BN2" s="241" t="s">
        <v>94</v>
      </c>
      <c r="BO2" s="17" t="s">
        <v>19</v>
      </c>
      <c r="BP2" s="17" t="s">
        <v>20</v>
      </c>
      <c r="BQ2" s="181" t="s">
        <v>41</v>
      </c>
      <c r="BR2" s="191"/>
      <c r="BS2" s="191"/>
      <c r="BT2" s="191"/>
    </row>
    <row r="3" spans="1:72" s="48" customFormat="1" ht="25.5" customHeight="1">
      <c r="A3" s="37">
        <v>1</v>
      </c>
      <c r="B3" s="198" t="s">
        <v>0</v>
      </c>
      <c r="C3" s="167" t="s">
        <v>15</v>
      </c>
      <c r="D3" s="40">
        <v>1</v>
      </c>
      <c r="E3" s="40">
        <v>1</v>
      </c>
      <c r="F3" s="40">
        <f>D3*E3</f>
        <v>1</v>
      </c>
      <c r="G3" s="43">
        <f>(125000/22.1)*F3</f>
        <v>5656.108597285068</v>
      </c>
      <c r="H3" s="40">
        <f>ROUND(((125000/3)/22.1)*F3,0)</f>
        <v>1885</v>
      </c>
      <c r="I3" s="41">
        <f>ROUND(33000/21,0)</f>
        <v>1571</v>
      </c>
      <c r="J3" s="42">
        <f aca="true" t="shared" si="0" ref="J3:J19">ROUND(I3*D3,2)</f>
        <v>1571</v>
      </c>
      <c r="K3" s="42">
        <f aca="true" t="shared" si="1" ref="K3:K19">ROUND(J3*BQ3/BQ3,2)</f>
        <v>1571</v>
      </c>
      <c r="L3" s="42">
        <f aca="true" t="shared" si="2" ref="L3:L19">ROUND(J3*E3,2)</f>
        <v>1571</v>
      </c>
      <c r="M3" s="42">
        <f>ROUND(L3*33000/34719.1,2)</f>
        <v>1493.21</v>
      </c>
      <c r="N3" s="43">
        <f aca="true" t="shared" si="3" ref="N3:N19">ROUND(M3,0)</f>
        <v>1493</v>
      </c>
      <c r="O3" s="43">
        <v>1200</v>
      </c>
      <c r="P3" s="43">
        <v>7446</v>
      </c>
      <c r="Q3" s="43">
        <f aca="true" t="shared" si="4" ref="Q3:Q14">ROUND(P3/6,0)</f>
        <v>1241</v>
      </c>
      <c r="R3" s="43">
        <f aca="true" t="shared" si="5" ref="R3:R14">ROUND(P3/6,0)</f>
        <v>1241</v>
      </c>
      <c r="S3" s="43">
        <f aca="true" t="shared" si="6" ref="S3:S14">ROUND(P3/6,0)</f>
        <v>1241</v>
      </c>
      <c r="T3" s="43">
        <f aca="true" t="shared" si="7" ref="T3:T14">ROUND(P3/6,0)</f>
        <v>1241</v>
      </c>
      <c r="U3" s="43">
        <f aca="true" t="shared" si="8" ref="U3:U14">ROUND(P3/6,0)</f>
        <v>1241</v>
      </c>
      <c r="V3" s="43"/>
      <c r="W3" s="43">
        <f aca="true" t="shared" si="9" ref="W3:W14">P3-Q3-R3-S3-T3-U3</f>
        <v>1241</v>
      </c>
      <c r="X3" s="43">
        <f aca="true" t="shared" si="10" ref="X3:X14">SUM(Q3+R3+S3+T3+U3+W3)</f>
        <v>7446</v>
      </c>
      <c r="Y3" s="43"/>
      <c r="Z3" s="43"/>
      <c r="AA3" s="105">
        <v>1</v>
      </c>
      <c r="AB3" s="44">
        <f>H3</f>
        <v>1885</v>
      </c>
      <c r="AC3" s="44">
        <f>H3</f>
        <v>1885</v>
      </c>
      <c r="AD3" s="44">
        <f>H3</f>
        <v>1885</v>
      </c>
      <c r="AE3" s="28">
        <f>AB3+AC3+AD3</f>
        <v>5655</v>
      </c>
      <c r="AF3" s="102">
        <f>(106000/22.1)*F3</f>
        <v>4796.380090497737</v>
      </c>
      <c r="AG3" s="102">
        <f>ROUND(((106000/22.1)*F3),0)</f>
        <v>4796</v>
      </c>
      <c r="AH3" s="102">
        <f>ROUND(AG3/3,0)</f>
        <v>1599</v>
      </c>
      <c r="AI3" s="102">
        <v>1599</v>
      </c>
      <c r="AJ3" s="45">
        <v>1599</v>
      </c>
      <c r="AK3" s="45">
        <f>AH3+AI3+AJ3</f>
        <v>4797</v>
      </c>
      <c r="AL3" s="43">
        <f>(39000/20.9)*AA3</f>
        <v>1866.0287081339713</v>
      </c>
      <c r="AM3" s="45">
        <f>ROUND(AL3,0)</f>
        <v>1866</v>
      </c>
      <c r="AN3" s="275">
        <f>D3*E3</f>
        <v>1</v>
      </c>
      <c r="AO3" s="102">
        <v>1</v>
      </c>
      <c r="AP3" s="102">
        <f>D3*E3</f>
        <v>1</v>
      </c>
      <c r="AQ3" s="102">
        <f>2318.18*AN3</f>
        <v>2318.18</v>
      </c>
      <c r="AR3" s="102">
        <f>2500*AO3</f>
        <v>2500</v>
      </c>
      <c r="AS3" s="102">
        <f>ROUND(2547.16*AO3,0)</f>
        <v>2547</v>
      </c>
      <c r="AT3" s="102">
        <f>ROUND(8467.74*AP3,0)</f>
        <v>8468</v>
      </c>
      <c r="AU3" s="284">
        <f>AT3/5</f>
        <v>1693.6</v>
      </c>
      <c r="AV3" s="278">
        <f>ROUND(1572.58*AP3,0)</f>
        <v>1573</v>
      </c>
      <c r="AW3" s="278">
        <f>ROUND(2177.41*AP3,0)</f>
        <v>2177</v>
      </c>
      <c r="AX3" s="158">
        <f aca="true" t="shared" si="11" ref="AX3:AX13">ROUND(AQ3,0)</f>
        <v>2318</v>
      </c>
      <c r="AY3" s="158">
        <f aca="true" t="shared" si="12" ref="AY3:AY13">ROUND(AX3,0)</f>
        <v>2318</v>
      </c>
      <c r="AZ3" s="158">
        <f aca="true" t="shared" si="13" ref="AZ3:AZ13">ROUND(AY3,0)</f>
        <v>2318</v>
      </c>
      <c r="BA3" s="289"/>
      <c r="BB3" s="102">
        <v>2500</v>
      </c>
      <c r="BC3" s="158">
        <v>2500</v>
      </c>
      <c r="BD3" s="102">
        <v>2547</v>
      </c>
      <c r="BE3" s="289"/>
      <c r="BF3" s="188">
        <v>2547</v>
      </c>
      <c r="BG3" s="158">
        <v>1573</v>
      </c>
      <c r="BH3" s="158">
        <v>1573</v>
      </c>
      <c r="BI3" s="297"/>
      <c r="BJ3" s="42">
        <v>2177</v>
      </c>
      <c r="BK3" s="158">
        <v>1573</v>
      </c>
      <c r="BL3" s="227">
        <v>1573</v>
      </c>
      <c r="BM3" s="45">
        <f>BG3+BH3+BJ3+BK3+BL3</f>
        <v>8469</v>
      </c>
      <c r="BN3" s="236">
        <f>AX3+AY3+AZ3+BB3+BC3+BD3+BF3+BG3+BH3+BJ3+BK3+BL3</f>
        <v>25517</v>
      </c>
      <c r="BO3" s="168" t="s">
        <v>19</v>
      </c>
      <c r="BP3" s="168"/>
      <c r="BQ3" s="169">
        <v>3</v>
      </c>
      <c r="BR3" s="192"/>
      <c r="BS3" s="192"/>
      <c r="BT3" s="192"/>
    </row>
    <row r="4" spans="1:72" s="48" customFormat="1" ht="24" customHeight="1">
      <c r="A4" s="37">
        <v>2</v>
      </c>
      <c r="B4" s="199" t="s">
        <v>63</v>
      </c>
      <c r="C4" s="38" t="s">
        <v>15</v>
      </c>
      <c r="D4" s="39">
        <v>1</v>
      </c>
      <c r="E4" s="39">
        <v>1</v>
      </c>
      <c r="F4" s="40">
        <f aca="true" t="shared" si="14" ref="F4:F19">D4*E4</f>
        <v>1</v>
      </c>
      <c r="G4" s="40">
        <f aca="true" t="shared" si="15" ref="G4:G19">(125000/22.1)*F4</f>
        <v>5656.108597285068</v>
      </c>
      <c r="H4" s="40">
        <f aca="true" t="shared" si="16" ref="H4:H19">ROUND(((125000/3)/22.1)*F4,0)</f>
        <v>1885</v>
      </c>
      <c r="I4" s="41">
        <f aca="true" t="shared" si="17" ref="I4:I19">ROUND(33000/21,0)</f>
        <v>1571</v>
      </c>
      <c r="J4" s="42">
        <f t="shared" si="0"/>
        <v>1571</v>
      </c>
      <c r="K4" s="42">
        <f t="shared" si="1"/>
        <v>1571</v>
      </c>
      <c r="L4" s="42">
        <f t="shared" si="2"/>
        <v>1571</v>
      </c>
      <c r="M4" s="42">
        <f aca="true" t="shared" si="18" ref="M4:M19">ROUND(L4*33000/34719.1,2)</f>
        <v>1493.21</v>
      </c>
      <c r="N4" s="43">
        <f t="shared" si="3"/>
        <v>1493</v>
      </c>
      <c r="O4" s="43">
        <v>1600</v>
      </c>
      <c r="P4" s="43">
        <v>7665</v>
      </c>
      <c r="Q4" s="43">
        <f t="shared" si="4"/>
        <v>1278</v>
      </c>
      <c r="R4" s="43">
        <f t="shared" si="5"/>
        <v>1278</v>
      </c>
      <c r="S4" s="43">
        <f t="shared" si="6"/>
        <v>1278</v>
      </c>
      <c r="T4" s="43">
        <f t="shared" si="7"/>
        <v>1278</v>
      </c>
      <c r="U4" s="43">
        <f t="shared" si="8"/>
        <v>1278</v>
      </c>
      <c r="V4" s="43"/>
      <c r="W4" s="43">
        <f t="shared" si="9"/>
        <v>1275</v>
      </c>
      <c r="X4" s="43">
        <f t="shared" si="10"/>
        <v>7665</v>
      </c>
      <c r="Y4" s="43"/>
      <c r="Z4" s="43"/>
      <c r="AA4" s="105">
        <v>1</v>
      </c>
      <c r="AB4" s="44">
        <f aca="true" t="shared" si="19" ref="AB4:AB19">H4</f>
        <v>1885</v>
      </c>
      <c r="AC4" s="44">
        <f aca="true" t="shared" si="20" ref="AC4:AC19">H4</f>
        <v>1885</v>
      </c>
      <c r="AD4" s="44">
        <f aca="true" t="shared" si="21" ref="AD4:AD19">H4</f>
        <v>1885</v>
      </c>
      <c r="AE4" s="28">
        <f aca="true" t="shared" si="22" ref="AE4:AE19">AB4+AC4+AD4</f>
        <v>5655</v>
      </c>
      <c r="AF4" s="102">
        <f aca="true" t="shared" si="23" ref="AF4:AF19">(106000/22.1)*F4</f>
        <v>4796.380090497737</v>
      </c>
      <c r="AG4" s="102">
        <f aca="true" t="shared" si="24" ref="AG4:AG19">ROUND(((106000/22.1)*F4),0)</f>
        <v>4796</v>
      </c>
      <c r="AH4" s="102">
        <f aca="true" t="shared" si="25" ref="AH4:AH19">ROUND(AG4/3,0)</f>
        <v>1599</v>
      </c>
      <c r="AI4" s="102">
        <v>1599</v>
      </c>
      <c r="AJ4" s="45">
        <v>1599</v>
      </c>
      <c r="AK4" s="45">
        <f aca="true" t="shared" si="26" ref="AK4:AK20">AH4+AI4+AJ4</f>
        <v>4797</v>
      </c>
      <c r="AL4" s="43">
        <f aca="true" t="shared" si="27" ref="AL4:AL19">(39000/20.9)*AA4</f>
        <v>1866.0287081339713</v>
      </c>
      <c r="AM4" s="45">
        <f aca="true" t="shared" si="28" ref="AM4:AM19">ROUND(AL4,0)</f>
        <v>1866</v>
      </c>
      <c r="AN4" s="275">
        <f aca="true" t="shared" si="29" ref="AN4:AN17">D4*E4</f>
        <v>1</v>
      </c>
      <c r="AO4" s="102">
        <v>1</v>
      </c>
      <c r="AP4" s="102">
        <f>D4*E4</f>
        <v>1</v>
      </c>
      <c r="AQ4" s="102">
        <f aca="true" t="shared" si="30" ref="AQ4:AQ26">2318.18*AN4</f>
        <v>2318.18</v>
      </c>
      <c r="AR4" s="102">
        <f aca="true" t="shared" si="31" ref="AR4:AR26">2500*AO4</f>
        <v>2500</v>
      </c>
      <c r="AS4" s="102">
        <f aca="true" t="shared" si="32" ref="AS4:AS26">ROUND(2547.16*AO4,0)</f>
        <v>2547</v>
      </c>
      <c r="AT4" s="102">
        <f aca="true" t="shared" si="33" ref="AT4:AT29">ROUND(8467.74*AP4,0)</f>
        <v>8468</v>
      </c>
      <c r="AU4" s="284">
        <f aca="true" t="shared" si="34" ref="AU4:AU29">AT4/5</f>
        <v>1693.6</v>
      </c>
      <c r="AV4" s="278">
        <f aca="true" t="shared" si="35" ref="AV4:AV27">ROUND(1572.58*AP4,0)</f>
        <v>1573</v>
      </c>
      <c r="AW4" s="278">
        <f aca="true" t="shared" si="36" ref="AW4:AW29">ROUND(2177.41*AP4,0)</f>
        <v>2177</v>
      </c>
      <c r="AX4" s="158">
        <f t="shared" si="11"/>
        <v>2318</v>
      </c>
      <c r="AY4" s="158">
        <f t="shared" si="12"/>
        <v>2318</v>
      </c>
      <c r="AZ4" s="158">
        <f t="shared" si="13"/>
        <v>2318</v>
      </c>
      <c r="BA4" s="289"/>
      <c r="BB4" s="102">
        <v>2500</v>
      </c>
      <c r="BC4" s="158">
        <v>2500</v>
      </c>
      <c r="BD4" s="102">
        <v>2547</v>
      </c>
      <c r="BE4" s="289"/>
      <c r="BF4" s="188">
        <v>2547</v>
      </c>
      <c r="BG4" s="158">
        <v>1573</v>
      </c>
      <c r="BH4" s="158">
        <v>1573</v>
      </c>
      <c r="BI4" s="297"/>
      <c r="BJ4" s="42">
        <v>2177</v>
      </c>
      <c r="BK4" s="158">
        <v>1573</v>
      </c>
      <c r="BL4" s="227">
        <v>1573</v>
      </c>
      <c r="BM4" s="45">
        <f aca="true" t="shared" si="37" ref="BM4:BM29">BG4+BH4+BJ4+BK4+BL4</f>
        <v>8469</v>
      </c>
      <c r="BN4" s="236">
        <f aca="true" t="shared" si="38" ref="BN4:BN29">AX4+AY4+AZ4+BB4+BC4+BD4+BF4+BG4+BH4+BJ4+BK4+BL4</f>
        <v>25517</v>
      </c>
      <c r="BO4" s="46" t="s">
        <v>19</v>
      </c>
      <c r="BP4" s="46"/>
      <c r="BQ4" s="47">
        <v>3</v>
      </c>
      <c r="BR4" s="192"/>
      <c r="BS4" s="192"/>
      <c r="BT4" s="192"/>
    </row>
    <row r="5" spans="1:72" s="48" customFormat="1" ht="25.5" customHeight="1">
      <c r="A5" s="37">
        <v>3</v>
      </c>
      <c r="B5" s="199" t="s">
        <v>1</v>
      </c>
      <c r="C5" s="38" t="s">
        <v>15</v>
      </c>
      <c r="D5" s="39">
        <v>1</v>
      </c>
      <c r="E5" s="39">
        <v>1</v>
      </c>
      <c r="F5" s="40">
        <f t="shared" si="14"/>
        <v>1</v>
      </c>
      <c r="G5" s="40">
        <f t="shared" si="15"/>
        <v>5656.108597285068</v>
      </c>
      <c r="H5" s="40">
        <f t="shared" si="16"/>
        <v>1885</v>
      </c>
      <c r="I5" s="41">
        <f t="shared" si="17"/>
        <v>1571</v>
      </c>
      <c r="J5" s="42">
        <f t="shared" si="0"/>
        <v>1571</v>
      </c>
      <c r="K5" s="42">
        <f t="shared" si="1"/>
        <v>1571</v>
      </c>
      <c r="L5" s="42">
        <f t="shared" si="2"/>
        <v>1571</v>
      </c>
      <c r="M5" s="42">
        <f t="shared" si="18"/>
        <v>1493.21</v>
      </c>
      <c r="N5" s="43">
        <f t="shared" si="3"/>
        <v>1493</v>
      </c>
      <c r="O5" s="43">
        <v>1200</v>
      </c>
      <c r="P5" s="43">
        <v>7446</v>
      </c>
      <c r="Q5" s="43">
        <f t="shared" si="4"/>
        <v>1241</v>
      </c>
      <c r="R5" s="43">
        <f t="shared" si="5"/>
        <v>1241</v>
      </c>
      <c r="S5" s="43">
        <f t="shared" si="6"/>
        <v>1241</v>
      </c>
      <c r="T5" s="43">
        <f t="shared" si="7"/>
        <v>1241</v>
      </c>
      <c r="U5" s="43">
        <f t="shared" si="8"/>
        <v>1241</v>
      </c>
      <c r="V5" s="43"/>
      <c r="W5" s="43">
        <f t="shared" si="9"/>
        <v>1241</v>
      </c>
      <c r="X5" s="43">
        <f t="shared" si="10"/>
        <v>7446</v>
      </c>
      <c r="Y5" s="43"/>
      <c r="Z5" s="43"/>
      <c r="AA5" s="105">
        <v>1</v>
      </c>
      <c r="AB5" s="44">
        <f t="shared" si="19"/>
        <v>1885</v>
      </c>
      <c r="AC5" s="44">
        <f t="shared" si="20"/>
        <v>1885</v>
      </c>
      <c r="AD5" s="44">
        <f t="shared" si="21"/>
        <v>1885</v>
      </c>
      <c r="AE5" s="28">
        <f t="shared" si="22"/>
        <v>5655</v>
      </c>
      <c r="AF5" s="102">
        <f t="shared" si="23"/>
        <v>4796.380090497737</v>
      </c>
      <c r="AG5" s="102">
        <f t="shared" si="24"/>
        <v>4796</v>
      </c>
      <c r="AH5" s="102">
        <f t="shared" si="25"/>
        <v>1599</v>
      </c>
      <c r="AI5" s="102">
        <v>1599</v>
      </c>
      <c r="AJ5" s="45">
        <v>1599</v>
      </c>
      <c r="AK5" s="45">
        <f t="shared" si="26"/>
        <v>4797</v>
      </c>
      <c r="AL5" s="43">
        <f t="shared" si="27"/>
        <v>1866.0287081339713</v>
      </c>
      <c r="AM5" s="45">
        <f t="shared" si="28"/>
        <v>1866</v>
      </c>
      <c r="AN5" s="275">
        <f t="shared" si="29"/>
        <v>1</v>
      </c>
      <c r="AO5" s="102">
        <v>1</v>
      </c>
      <c r="AP5" s="102">
        <f>D5*E5</f>
        <v>1</v>
      </c>
      <c r="AQ5" s="102">
        <f t="shared" si="30"/>
        <v>2318.18</v>
      </c>
      <c r="AR5" s="102">
        <f t="shared" si="31"/>
        <v>2500</v>
      </c>
      <c r="AS5" s="102">
        <f t="shared" si="32"/>
        <v>2547</v>
      </c>
      <c r="AT5" s="102">
        <f t="shared" si="33"/>
        <v>8468</v>
      </c>
      <c r="AU5" s="284">
        <f t="shared" si="34"/>
        <v>1693.6</v>
      </c>
      <c r="AV5" s="278">
        <f t="shared" si="35"/>
        <v>1573</v>
      </c>
      <c r="AW5" s="278">
        <f t="shared" si="36"/>
        <v>2177</v>
      </c>
      <c r="AX5" s="158">
        <f t="shared" si="11"/>
        <v>2318</v>
      </c>
      <c r="AY5" s="158">
        <f t="shared" si="12"/>
        <v>2318</v>
      </c>
      <c r="AZ5" s="158">
        <f t="shared" si="13"/>
        <v>2318</v>
      </c>
      <c r="BA5" s="289"/>
      <c r="BB5" s="102">
        <v>2500</v>
      </c>
      <c r="BC5" s="158">
        <v>2500</v>
      </c>
      <c r="BD5" s="102">
        <v>2547</v>
      </c>
      <c r="BE5" s="289"/>
      <c r="BF5" s="188">
        <v>2547</v>
      </c>
      <c r="BG5" s="158">
        <v>1573</v>
      </c>
      <c r="BH5" s="158">
        <v>1573</v>
      </c>
      <c r="BI5" s="297"/>
      <c r="BJ5" s="42">
        <v>2177</v>
      </c>
      <c r="BK5" s="158">
        <v>1573</v>
      </c>
      <c r="BL5" s="227">
        <v>1573</v>
      </c>
      <c r="BM5" s="45">
        <f t="shared" si="37"/>
        <v>8469</v>
      </c>
      <c r="BN5" s="236">
        <f t="shared" si="38"/>
        <v>25517</v>
      </c>
      <c r="BO5" s="46" t="s">
        <v>19</v>
      </c>
      <c r="BP5" s="46"/>
      <c r="BQ5" s="47">
        <v>3</v>
      </c>
      <c r="BR5" s="192"/>
      <c r="BS5" s="192"/>
      <c r="BT5" s="192"/>
    </row>
    <row r="6" spans="1:72" s="67" customFormat="1" ht="24.75" customHeight="1">
      <c r="A6" s="56">
        <v>4</v>
      </c>
      <c r="B6" s="210" t="s">
        <v>2</v>
      </c>
      <c r="C6" s="57" t="s">
        <v>16</v>
      </c>
      <c r="D6" s="58">
        <v>0.8</v>
      </c>
      <c r="E6" s="58">
        <v>1.5</v>
      </c>
      <c r="F6" s="59">
        <f t="shared" si="14"/>
        <v>1.2000000000000002</v>
      </c>
      <c r="G6" s="59">
        <f t="shared" si="15"/>
        <v>6787.330316742083</v>
      </c>
      <c r="H6" s="59">
        <f t="shared" si="16"/>
        <v>2262</v>
      </c>
      <c r="I6" s="60">
        <f t="shared" si="17"/>
        <v>1571</v>
      </c>
      <c r="J6" s="61">
        <f t="shared" si="0"/>
        <v>1256.8</v>
      </c>
      <c r="K6" s="61">
        <f t="shared" si="1"/>
        <v>1256.8</v>
      </c>
      <c r="L6" s="62">
        <f t="shared" si="2"/>
        <v>1885.2</v>
      </c>
      <c r="M6" s="61">
        <f t="shared" si="18"/>
        <v>1791.86</v>
      </c>
      <c r="N6" s="49">
        <f t="shared" si="3"/>
        <v>1792</v>
      </c>
      <c r="O6" s="63">
        <v>1400</v>
      </c>
      <c r="P6" s="63">
        <v>7884</v>
      </c>
      <c r="Q6" s="63">
        <f t="shared" si="4"/>
        <v>1314</v>
      </c>
      <c r="R6" s="63">
        <f t="shared" si="5"/>
        <v>1314</v>
      </c>
      <c r="S6" s="63">
        <f t="shared" si="6"/>
        <v>1314</v>
      </c>
      <c r="T6" s="63">
        <f t="shared" si="7"/>
        <v>1314</v>
      </c>
      <c r="U6" s="63">
        <f t="shared" si="8"/>
        <v>1314</v>
      </c>
      <c r="V6" s="63"/>
      <c r="W6" s="63">
        <f t="shared" si="9"/>
        <v>1314</v>
      </c>
      <c r="X6" s="63">
        <f t="shared" si="10"/>
        <v>7884</v>
      </c>
      <c r="Y6" s="63"/>
      <c r="Z6" s="63"/>
      <c r="AA6" s="105">
        <v>1.2</v>
      </c>
      <c r="AB6" s="89">
        <f t="shared" si="19"/>
        <v>2262</v>
      </c>
      <c r="AC6" s="89">
        <f t="shared" si="20"/>
        <v>2262</v>
      </c>
      <c r="AD6" s="89">
        <f t="shared" si="21"/>
        <v>2262</v>
      </c>
      <c r="AE6" s="28">
        <f t="shared" si="22"/>
        <v>6786</v>
      </c>
      <c r="AF6" s="104">
        <f t="shared" si="23"/>
        <v>5755.656108597285</v>
      </c>
      <c r="AG6" s="104">
        <f t="shared" si="24"/>
        <v>5756</v>
      </c>
      <c r="AH6" s="104">
        <f t="shared" si="25"/>
        <v>1919</v>
      </c>
      <c r="AI6" s="104">
        <v>1919</v>
      </c>
      <c r="AJ6" s="64">
        <v>1919</v>
      </c>
      <c r="AK6" s="45">
        <f t="shared" si="26"/>
        <v>5757</v>
      </c>
      <c r="AL6" s="49">
        <f t="shared" si="27"/>
        <v>2239.2344497607655</v>
      </c>
      <c r="AM6" s="64">
        <f t="shared" si="28"/>
        <v>2239</v>
      </c>
      <c r="AN6" s="275">
        <f t="shared" si="29"/>
        <v>1.2000000000000002</v>
      </c>
      <c r="AO6" s="104">
        <v>1.2</v>
      </c>
      <c r="AP6" s="104">
        <f>D6*E6</f>
        <v>1.2000000000000002</v>
      </c>
      <c r="AQ6" s="104">
        <f t="shared" si="30"/>
        <v>2781.8160000000003</v>
      </c>
      <c r="AR6" s="104">
        <f t="shared" si="31"/>
        <v>3000</v>
      </c>
      <c r="AS6" s="104">
        <f t="shared" si="32"/>
        <v>3057</v>
      </c>
      <c r="AT6" s="104">
        <f t="shared" si="33"/>
        <v>10161</v>
      </c>
      <c r="AU6" s="284">
        <f t="shared" si="34"/>
        <v>2032.2</v>
      </c>
      <c r="AV6" s="278">
        <f t="shared" si="35"/>
        <v>1887</v>
      </c>
      <c r="AW6" s="278">
        <f t="shared" si="36"/>
        <v>2613</v>
      </c>
      <c r="AX6" s="158">
        <f t="shared" si="11"/>
        <v>2782</v>
      </c>
      <c r="AY6" s="158">
        <f t="shared" si="12"/>
        <v>2782</v>
      </c>
      <c r="AZ6" s="158">
        <f t="shared" si="13"/>
        <v>2782</v>
      </c>
      <c r="BA6" s="289"/>
      <c r="BB6" s="102">
        <v>3000</v>
      </c>
      <c r="BC6" s="158">
        <v>3000</v>
      </c>
      <c r="BD6" s="104">
        <v>3057</v>
      </c>
      <c r="BE6" s="289"/>
      <c r="BF6" s="188">
        <v>3057</v>
      </c>
      <c r="BG6" s="159">
        <v>1887</v>
      </c>
      <c r="BH6" s="159">
        <v>1887</v>
      </c>
      <c r="BI6" s="297"/>
      <c r="BJ6" s="42">
        <v>2613</v>
      </c>
      <c r="BK6" s="159">
        <v>1887</v>
      </c>
      <c r="BL6" s="228">
        <v>1887</v>
      </c>
      <c r="BM6" s="45">
        <f t="shared" si="37"/>
        <v>10161</v>
      </c>
      <c r="BN6" s="236">
        <f t="shared" si="38"/>
        <v>30621</v>
      </c>
      <c r="BO6" s="65"/>
      <c r="BP6" s="65" t="s">
        <v>24</v>
      </c>
      <c r="BQ6" s="66">
        <v>3</v>
      </c>
      <c r="BR6" s="193"/>
      <c r="BS6" s="193"/>
      <c r="BT6" s="193"/>
    </row>
    <row r="7" spans="1:72" s="19" customFormat="1" ht="27" customHeight="1">
      <c r="A7" s="163">
        <v>5</v>
      </c>
      <c r="B7" s="200" t="s">
        <v>3</v>
      </c>
      <c r="C7" s="164" t="s">
        <v>17</v>
      </c>
      <c r="D7" s="165">
        <v>1.2</v>
      </c>
      <c r="E7" s="166">
        <v>1</v>
      </c>
      <c r="F7" s="36">
        <f t="shared" si="14"/>
        <v>1.2</v>
      </c>
      <c r="G7" s="40">
        <f t="shared" si="15"/>
        <v>6787.330316742081</v>
      </c>
      <c r="H7" s="40">
        <f t="shared" si="16"/>
        <v>2262</v>
      </c>
      <c r="I7" s="29">
        <f t="shared" si="17"/>
        <v>1571</v>
      </c>
      <c r="J7" s="30">
        <f t="shared" si="0"/>
        <v>1885.2</v>
      </c>
      <c r="K7" s="30">
        <f t="shared" si="1"/>
        <v>1885.2</v>
      </c>
      <c r="L7" s="31">
        <f t="shared" si="2"/>
        <v>1885.2</v>
      </c>
      <c r="M7" s="30">
        <f t="shared" si="18"/>
        <v>1791.86</v>
      </c>
      <c r="N7" s="21">
        <f t="shared" si="3"/>
        <v>1792</v>
      </c>
      <c r="O7" s="24">
        <v>1500</v>
      </c>
      <c r="P7" s="23">
        <v>9199</v>
      </c>
      <c r="Q7" s="24">
        <f t="shared" si="4"/>
        <v>1533</v>
      </c>
      <c r="R7" s="24">
        <f t="shared" si="5"/>
        <v>1533</v>
      </c>
      <c r="S7" s="24">
        <f t="shared" si="6"/>
        <v>1533</v>
      </c>
      <c r="T7" s="24">
        <f t="shared" si="7"/>
        <v>1533</v>
      </c>
      <c r="U7" s="24">
        <f t="shared" si="8"/>
        <v>1533</v>
      </c>
      <c r="V7" s="24"/>
      <c r="W7" s="24">
        <f t="shared" si="9"/>
        <v>1534</v>
      </c>
      <c r="X7" s="24">
        <f t="shared" si="10"/>
        <v>9199</v>
      </c>
      <c r="Y7" s="24"/>
      <c r="Z7" s="24"/>
      <c r="AA7" s="105">
        <v>1.2</v>
      </c>
      <c r="AB7" s="44">
        <f t="shared" si="19"/>
        <v>2262</v>
      </c>
      <c r="AC7" s="44">
        <f t="shared" si="20"/>
        <v>2262</v>
      </c>
      <c r="AD7" s="44">
        <f t="shared" si="21"/>
        <v>2262</v>
      </c>
      <c r="AE7" s="28">
        <f t="shared" si="22"/>
        <v>6786</v>
      </c>
      <c r="AF7" s="102">
        <f t="shared" si="23"/>
        <v>5755.656108597284</v>
      </c>
      <c r="AG7" s="102">
        <f t="shared" si="24"/>
        <v>5756</v>
      </c>
      <c r="AH7" s="102">
        <f t="shared" si="25"/>
        <v>1919</v>
      </c>
      <c r="AI7" s="102">
        <v>1919</v>
      </c>
      <c r="AJ7" s="45">
        <v>1919</v>
      </c>
      <c r="AK7" s="45">
        <f t="shared" si="26"/>
        <v>5757</v>
      </c>
      <c r="AL7" s="43">
        <f t="shared" si="27"/>
        <v>2239.2344497607655</v>
      </c>
      <c r="AM7" s="45">
        <f t="shared" si="28"/>
        <v>2239</v>
      </c>
      <c r="AN7" s="275">
        <f t="shared" si="29"/>
        <v>1.2</v>
      </c>
      <c r="AO7" s="275">
        <v>1.2</v>
      </c>
      <c r="AP7" s="242">
        <f aca="true" t="shared" si="39" ref="AP7:AP29">D7*E7</f>
        <v>1.2</v>
      </c>
      <c r="AQ7" s="275">
        <f t="shared" si="30"/>
        <v>2781.816</v>
      </c>
      <c r="AR7" s="275">
        <f t="shared" si="31"/>
        <v>3000</v>
      </c>
      <c r="AS7" s="275">
        <f t="shared" si="32"/>
        <v>3057</v>
      </c>
      <c r="AT7" s="242">
        <f t="shared" si="33"/>
        <v>10161</v>
      </c>
      <c r="AU7" s="284">
        <f t="shared" si="34"/>
        <v>2032.2</v>
      </c>
      <c r="AV7" s="278">
        <f t="shared" si="35"/>
        <v>1887</v>
      </c>
      <c r="AW7" s="278">
        <f t="shared" si="36"/>
        <v>2613</v>
      </c>
      <c r="AX7" s="158">
        <f t="shared" si="11"/>
        <v>2782</v>
      </c>
      <c r="AY7" s="158">
        <f t="shared" si="12"/>
        <v>2782</v>
      </c>
      <c r="AZ7" s="158">
        <f t="shared" si="13"/>
        <v>2782</v>
      </c>
      <c r="BA7" s="289"/>
      <c r="BB7" s="102">
        <v>3000</v>
      </c>
      <c r="BC7" s="158">
        <v>3000</v>
      </c>
      <c r="BD7" s="242">
        <v>3057</v>
      </c>
      <c r="BE7" s="289"/>
      <c r="BF7" s="188">
        <v>3057</v>
      </c>
      <c r="BG7" s="160">
        <v>1887</v>
      </c>
      <c r="BH7" s="160">
        <v>1887</v>
      </c>
      <c r="BI7" s="297"/>
      <c r="BJ7" s="42">
        <v>2613</v>
      </c>
      <c r="BK7" s="160">
        <v>1887</v>
      </c>
      <c r="BL7" s="229">
        <v>1887</v>
      </c>
      <c r="BM7" s="45">
        <f t="shared" si="37"/>
        <v>10161</v>
      </c>
      <c r="BN7" s="236">
        <f t="shared" si="38"/>
        <v>30621</v>
      </c>
      <c r="BO7" s="34" t="s">
        <v>19</v>
      </c>
      <c r="BP7" s="34"/>
      <c r="BQ7" s="18">
        <v>3</v>
      </c>
      <c r="BR7" s="194"/>
      <c r="BS7" s="194"/>
      <c r="BT7" s="194"/>
    </row>
    <row r="8" spans="1:72" s="48" customFormat="1" ht="29.25" customHeight="1">
      <c r="A8" s="37">
        <v>6</v>
      </c>
      <c r="B8" s="199" t="s">
        <v>4</v>
      </c>
      <c r="C8" s="38" t="s">
        <v>15</v>
      </c>
      <c r="D8" s="39">
        <v>1</v>
      </c>
      <c r="E8" s="39">
        <v>1</v>
      </c>
      <c r="F8" s="40">
        <f t="shared" si="14"/>
        <v>1</v>
      </c>
      <c r="G8" s="40">
        <f t="shared" si="15"/>
        <v>5656.108597285068</v>
      </c>
      <c r="H8" s="40">
        <f t="shared" si="16"/>
        <v>1885</v>
      </c>
      <c r="I8" s="41">
        <f t="shared" si="17"/>
        <v>1571</v>
      </c>
      <c r="J8" s="42">
        <f t="shared" si="0"/>
        <v>1571</v>
      </c>
      <c r="K8" s="42">
        <f t="shared" si="1"/>
        <v>1571</v>
      </c>
      <c r="L8" s="42">
        <f t="shared" si="2"/>
        <v>1571</v>
      </c>
      <c r="M8" s="42">
        <f t="shared" si="18"/>
        <v>1493.21</v>
      </c>
      <c r="N8" s="43">
        <f t="shared" si="3"/>
        <v>1493</v>
      </c>
      <c r="O8" s="43">
        <v>1200</v>
      </c>
      <c r="P8" s="43">
        <v>7665</v>
      </c>
      <c r="Q8" s="43">
        <f t="shared" si="4"/>
        <v>1278</v>
      </c>
      <c r="R8" s="43">
        <f t="shared" si="5"/>
        <v>1278</v>
      </c>
      <c r="S8" s="43">
        <f t="shared" si="6"/>
        <v>1278</v>
      </c>
      <c r="T8" s="43">
        <f t="shared" si="7"/>
        <v>1278</v>
      </c>
      <c r="U8" s="43">
        <f t="shared" si="8"/>
        <v>1278</v>
      </c>
      <c r="V8" s="43"/>
      <c r="W8" s="43">
        <f t="shared" si="9"/>
        <v>1275</v>
      </c>
      <c r="X8" s="43">
        <f t="shared" si="10"/>
        <v>7665</v>
      </c>
      <c r="Y8" s="43"/>
      <c r="Z8" s="43"/>
      <c r="AA8" s="105">
        <v>1</v>
      </c>
      <c r="AB8" s="44">
        <f t="shared" si="19"/>
        <v>1885</v>
      </c>
      <c r="AC8" s="44">
        <f t="shared" si="20"/>
        <v>1885</v>
      </c>
      <c r="AD8" s="44">
        <f t="shared" si="21"/>
        <v>1885</v>
      </c>
      <c r="AE8" s="28">
        <f t="shared" si="22"/>
        <v>5655</v>
      </c>
      <c r="AF8" s="102">
        <f t="shared" si="23"/>
        <v>4796.380090497737</v>
      </c>
      <c r="AG8" s="102">
        <f t="shared" si="24"/>
        <v>4796</v>
      </c>
      <c r="AH8" s="102">
        <f t="shared" si="25"/>
        <v>1599</v>
      </c>
      <c r="AI8" s="102">
        <v>1599</v>
      </c>
      <c r="AJ8" s="45">
        <v>1599</v>
      </c>
      <c r="AK8" s="45">
        <f t="shared" si="26"/>
        <v>4797</v>
      </c>
      <c r="AL8" s="43">
        <f t="shared" si="27"/>
        <v>1866.0287081339713</v>
      </c>
      <c r="AM8" s="45">
        <f t="shared" si="28"/>
        <v>1866</v>
      </c>
      <c r="AN8" s="275">
        <f t="shared" si="29"/>
        <v>1</v>
      </c>
      <c r="AO8" s="102">
        <v>1</v>
      </c>
      <c r="AP8" s="102">
        <f t="shared" si="39"/>
        <v>1</v>
      </c>
      <c r="AQ8" s="102">
        <f t="shared" si="30"/>
        <v>2318.18</v>
      </c>
      <c r="AR8" s="102">
        <f t="shared" si="31"/>
        <v>2500</v>
      </c>
      <c r="AS8" s="102">
        <f t="shared" si="32"/>
        <v>2547</v>
      </c>
      <c r="AT8" s="102">
        <f t="shared" si="33"/>
        <v>8468</v>
      </c>
      <c r="AU8" s="284">
        <f t="shared" si="34"/>
        <v>1693.6</v>
      </c>
      <c r="AV8" s="278">
        <f t="shared" si="35"/>
        <v>1573</v>
      </c>
      <c r="AW8" s="278">
        <f t="shared" si="36"/>
        <v>2177</v>
      </c>
      <c r="AX8" s="158">
        <f t="shared" si="11"/>
        <v>2318</v>
      </c>
      <c r="AY8" s="158">
        <f t="shared" si="12"/>
        <v>2318</v>
      </c>
      <c r="AZ8" s="158">
        <f t="shared" si="13"/>
        <v>2318</v>
      </c>
      <c r="BA8" s="289"/>
      <c r="BB8" s="102">
        <v>2500</v>
      </c>
      <c r="BC8" s="158">
        <v>2500</v>
      </c>
      <c r="BD8" s="102">
        <v>2547</v>
      </c>
      <c r="BE8" s="289"/>
      <c r="BF8" s="188">
        <v>2547</v>
      </c>
      <c r="BG8" s="158">
        <v>1573</v>
      </c>
      <c r="BH8" s="158">
        <v>1573</v>
      </c>
      <c r="BI8" s="297"/>
      <c r="BJ8" s="42">
        <v>2177</v>
      </c>
      <c r="BK8" s="158">
        <v>1573</v>
      </c>
      <c r="BL8" s="227">
        <v>1573</v>
      </c>
      <c r="BM8" s="45">
        <f t="shared" si="37"/>
        <v>8469</v>
      </c>
      <c r="BN8" s="236">
        <f t="shared" si="38"/>
        <v>25517</v>
      </c>
      <c r="BO8" s="46" t="s">
        <v>19</v>
      </c>
      <c r="BP8" s="46"/>
      <c r="BQ8" s="47">
        <v>3</v>
      </c>
      <c r="BR8" s="192"/>
      <c r="BS8" s="192"/>
      <c r="BT8" s="192"/>
    </row>
    <row r="9" spans="1:72" s="88" customFormat="1" ht="27" customHeight="1">
      <c r="A9" s="68">
        <v>7</v>
      </c>
      <c r="B9" s="201" t="s">
        <v>5</v>
      </c>
      <c r="C9" s="83" t="s">
        <v>16</v>
      </c>
      <c r="D9" s="71">
        <v>0.8</v>
      </c>
      <c r="E9" s="71">
        <v>1</v>
      </c>
      <c r="F9" s="72">
        <f t="shared" si="14"/>
        <v>0.8</v>
      </c>
      <c r="G9" s="72">
        <f t="shared" si="15"/>
        <v>4524.886877828055</v>
      </c>
      <c r="H9" s="72">
        <f t="shared" si="16"/>
        <v>1508</v>
      </c>
      <c r="I9" s="73">
        <f t="shared" si="17"/>
        <v>1571</v>
      </c>
      <c r="J9" s="74">
        <f t="shared" si="0"/>
        <v>1256.8</v>
      </c>
      <c r="K9" s="74">
        <f t="shared" si="1"/>
        <v>1256.8</v>
      </c>
      <c r="L9" s="85">
        <f t="shared" si="2"/>
        <v>1256.8</v>
      </c>
      <c r="M9" s="74">
        <f t="shared" si="18"/>
        <v>1194.57</v>
      </c>
      <c r="N9" s="75">
        <f t="shared" si="3"/>
        <v>1195</v>
      </c>
      <c r="O9" s="86">
        <v>1000</v>
      </c>
      <c r="P9" s="86">
        <v>5957</v>
      </c>
      <c r="Q9" s="86">
        <f t="shared" si="4"/>
        <v>993</v>
      </c>
      <c r="R9" s="86">
        <f t="shared" si="5"/>
        <v>993</v>
      </c>
      <c r="S9" s="86">
        <f t="shared" si="6"/>
        <v>993</v>
      </c>
      <c r="T9" s="86">
        <f t="shared" si="7"/>
        <v>993</v>
      </c>
      <c r="U9" s="86">
        <f t="shared" si="8"/>
        <v>993</v>
      </c>
      <c r="V9" s="86"/>
      <c r="W9" s="86">
        <f t="shared" si="9"/>
        <v>992</v>
      </c>
      <c r="X9" s="86">
        <f t="shared" si="10"/>
        <v>5957</v>
      </c>
      <c r="Y9" s="86"/>
      <c r="Z9" s="86"/>
      <c r="AA9" s="105">
        <v>0.8</v>
      </c>
      <c r="AB9" s="78">
        <f t="shared" si="19"/>
        <v>1508</v>
      </c>
      <c r="AC9" s="78">
        <f t="shared" si="20"/>
        <v>1508</v>
      </c>
      <c r="AD9" s="78">
        <f t="shared" si="21"/>
        <v>1508</v>
      </c>
      <c r="AE9" s="28">
        <f t="shared" si="22"/>
        <v>4524</v>
      </c>
      <c r="AF9" s="103">
        <f t="shared" si="23"/>
        <v>3837.1040723981896</v>
      </c>
      <c r="AG9" s="103">
        <f t="shared" si="24"/>
        <v>3837</v>
      </c>
      <c r="AH9" s="103">
        <f t="shared" si="25"/>
        <v>1279</v>
      </c>
      <c r="AI9" s="103">
        <v>1279</v>
      </c>
      <c r="AJ9" s="79">
        <v>1279</v>
      </c>
      <c r="AK9" s="45">
        <f t="shared" si="26"/>
        <v>3837</v>
      </c>
      <c r="AL9" s="75">
        <f t="shared" si="27"/>
        <v>1492.8229665071772</v>
      </c>
      <c r="AM9" s="79">
        <f t="shared" si="28"/>
        <v>1493</v>
      </c>
      <c r="AN9" s="275">
        <f t="shared" si="29"/>
        <v>0.8</v>
      </c>
      <c r="AO9" s="103">
        <v>0.8</v>
      </c>
      <c r="AP9" s="103">
        <f t="shared" si="39"/>
        <v>0.8</v>
      </c>
      <c r="AQ9" s="103">
        <f t="shared" si="30"/>
        <v>1854.5439999999999</v>
      </c>
      <c r="AR9" s="103">
        <f t="shared" si="31"/>
        <v>2000</v>
      </c>
      <c r="AS9" s="103">
        <f t="shared" si="32"/>
        <v>2038</v>
      </c>
      <c r="AT9" s="103">
        <f t="shared" si="33"/>
        <v>6774</v>
      </c>
      <c r="AU9" s="284">
        <f t="shared" si="34"/>
        <v>1354.8</v>
      </c>
      <c r="AV9" s="278">
        <f t="shared" si="35"/>
        <v>1258</v>
      </c>
      <c r="AW9" s="278">
        <f t="shared" si="36"/>
        <v>1742</v>
      </c>
      <c r="AX9" s="158">
        <f t="shared" si="11"/>
        <v>1855</v>
      </c>
      <c r="AY9" s="158">
        <f t="shared" si="12"/>
        <v>1855</v>
      </c>
      <c r="AZ9" s="158">
        <f t="shared" si="13"/>
        <v>1855</v>
      </c>
      <c r="BA9" s="289"/>
      <c r="BB9" s="102">
        <v>2000</v>
      </c>
      <c r="BC9" s="158">
        <v>2000</v>
      </c>
      <c r="BD9" s="103">
        <v>2038</v>
      </c>
      <c r="BE9" s="289"/>
      <c r="BF9" s="188">
        <v>2038</v>
      </c>
      <c r="BG9" s="161">
        <v>1258</v>
      </c>
      <c r="BH9" s="161">
        <v>1258</v>
      </c>
      <c r="BI9" s="297"/>
      <c r="BJ9" s="42">
        <v>1742</v>
      </c>
      <c r="BK9" s="161">
        <v>1258</v>
      </c>
      <c r="BL9" s="230">
        <v>1258</v>
      </c>
      <c r="BM9" s="45">
        <f t="shared" si="37"/>
        <v>6774</v>
      </c>
      <c r="BN9" s="236">
        <f t="shared" si="38"/>
        <v>20415</v>
      </c>
      <c r="BO9" s="87" t="s">
        <v>19</v>
      </c>
      <c r="BP9" s="80"/>
      <c r="BQ9" s="81">
        <v>3</v>
      </c>
      <c r="BR9" s="195"/>
      <c r="BS9" s="195"/>
      <c r="BT9" s="195"/>
    </row>
    <row r="10" spans="1:72" s="48" customFormat="1" ht="25.5" customHeight="1">
      <c r="A10" s="37">
        <v>8</v>
      </c>
      <c r="B10" s="199" t="s">
        <v>6</v>
      </c>
      <c r="C10" s="38" t="s">
        <v>15</v>
      </c>
      <c r="D10" s="39">
        <v>1</v>
      </c>
      <c r="E10" s="39">
        <v>1</v>
      </c>
      <c r="F10" s="40">
        <f t="shared" si="14"/>
        <v>1</v>
      </c>
      <c r="G10" s="40">
        <f t="shared" si="15"/>
        <v>5656.108597285068</v>
      </c>
      <c r="H10" s="40">
        <f t="shared" si="16"/>
        <v>1885</v>
      </c>
      <c r="I10" s="41">
        <f t="shared" si="17"/>
        <v>1571</v>
      </c>
      <c r="J10" s="42">
        <f t="shared" si="0"/>
        <v>1571</v>
      </c>
      <c r="K10" s="42">
        <f t="shared" si="1"/>
        <v>1571</v>
      </c>
      <c r="L10" s="42">
        <f t="shared" si="2"/>
        <v>1571</v>
      </c>
      <c r="M10" s="42">
        <f t="shared" si="18"/>
        <v>1493.21</v>
      </c>
      <c r="N10" s="43">
        <f t="shared" si="3"/>
        <v>1493</v>
      </c>
      <c r="O10" s="43">
        <v>1200</v>
      </c>
      <c r="P10" s="43">
        <v>7446</v>
      </c>
      <c r="Q10" s="43">
        <f t="shared" si="4"/>
        <v>1241</v>
      </c>
      <c r="R10" s="43">
        <f t="shared" si="5"/>
        <v>1241</v>
      </c>
      <c r="S10" s="43">
        <f t="shared" si="6"/>
        <v>1241</v>
      </c>
      <c r="T10" s="43">
        <f t="shared" si="7"/>
        <v>1241</v>
      </c>
      <c r="U10" s="43">
        <f t="shared" si="8"/>
        <v>1241</v>
      </c>
      <c r="V10" s="43"/>
      <c r="W10" s="43">
        <f t="shared" si="9"/>
        <v>1241</v>
      </c>
      <c r="X10" s="43">
        <f t="shared" si="10"/>
        <v>7446</v>
      </c>
      <c r="Y10" s="43"/>
      <c r="Z10" s="43"/>
      <c r="AA10" s="105">
        <v>1</v>
      </c>
      <c r="AB10" s="44">
        <f t="shared" si="19"/>
        <v>1885</v>
      </c>
      <c r="AC10" s="44">
        <f t="shared" si="20"/>
        <v>1885</v>
      </c>
      <c r="AD10" s="44">
        <f t="shared" si="21"/>
        <v>1885</v>
      </c>
      <c r="AE10" s="28">
        <f t="shared" si="22"/>
        <v>5655</v>
      </c>
      <c r="AF10" s="102">
        <f t="shared" si="23"/>
        <v>4796.380090497737</v>
      </c>
      <c r="AG10" s="102">
        <f t="shared" si="24"/>
        <v>4796</v>
      </c>
      <c r="AH10" s="102">
        <f t="shared" si="25"/>
        <v>1599</v>
      </c>
      <c r="AI10" s="102">
        <v>1599</v>
      </c>
      <c r="AJ10" s="45">
        <v>1599</v>
      </c>
      <c r="AK10" s="45">
        <f t="shared" si="26"/>
        <v>4797</v>
      </c>
      <c r="AL10" s="43">
        <f t="shared" si="27"/>
        <v>1866.0287081339713</v>
      </c>
      <c r="AM10" s="45">
        <f t="shared" si="28"/>
        <v>1866</v>
      </c>
      <c r="AN10" s="275">
        <f t="shared" si="29"/>
        <v>1</v>
      </c>
      <c r="AO10" s="102">
        <v>1</v>
      </c>
      <c r="AP10" s="102">
        <f t="shared" si="39"/>
        <v>1</v>
      </c>
      <c r="AQ10" s="102">
        <f t="shared" si="30"/>
        <v>2318.18</v>
      </c>
      <c r="AR10" s="102">
        <f t="shared" si="31"/>
        <v>2500</v>
      </c>
      <c r="AS10" s="102">
        <f t="shared" si="32"/>
        <v>2547</v>
      </c>
      <c r="AT10" s="102">
        <f t="shared" si="33"/>
        <v>8468</v>
      </c>
      <c r="AU10" s="284">
        <f t="shared" si="34"/>
        <v>1693.6</v>
      </c>
      <c r="AV10" s="278">
        <f t="shared" si="35"/>
        <v>1573</v>
      </c>
      <c r="AW10" s="278">
        <f t="shared" si="36"/>
        <v>2177</v>
      </c>
      <c r="AX10" s="158">
        <f t="shared" si="11"/>
        <v>2318</v>
      </c>
      <c r="AY10" s="158">
        <f t="shared" si="12"/>
        <v>2318</v>
      </c>
      <c r="AZ10" s="158">
        <f t="shared" si="13"/>
        <v>2318</v>
      </c>
      <c r="BA10" s="289"/>
      <c r="BB10" s="102">
        <v>2500</v>
      </c>
      <c r="BC10" s="158">
        <v>2500</v>
      </c>
      <c r="BD10" s="102">
        <v>2547</v>
      </c>
      <c r="BE10" s="289"/>
      <c r="BF10" s="188">
        <v>2547</v>
      </c>
      <c r="BG10" s="158">
        <v>1573</v>
      </c>
      <c r="BH10" s="158">
        <v>1573</v>
      </c>
      <c r="BI10" s="297"/>
      <c r="BJ10" s="42">
        <v>2177</v>
      </c>
      <c r="BK10" s="158">
        <v>1573</v>
      </c>
      <c r="BL10" s="227">
        <v>1573</v>
      </c>
      <c r="BM10" s="45">
        <f t="shared" si="37"/>
        <v>8469</v>
      </c>
      <c r="BN10" s="236">
        <f t="shared" si="38"/>
        <v>25517</v>
      </c>
      <c r="BO10" s="46" t="s">
        <v>19</v>
      </c>
      <c r="BP10" s="46"/>
      <c r="BQ10" s="47">
        <v>3</v>
      </c>
      <c r="BR10" s="192"/>
      <c r="BS10" s="192"/>
      <c r="BT10" s="192"/>
    </row>
    <row r="11" spans="1:72" s="67" customFormat="1" ht="23.25" customHeight="1">
      <c r="A11" s="56">
        <v>9</v>
      </c>
      <c r="B11" s="210" t="s">
        <v>12</v>
      </c>
      <c r="C11" s="57" t="s">
        <v>16</v>
      </c>
      <c r="D11" s="58">
        <v>0.8</v>
      </c>
      <c r="E11" s="58">
        <v>1.5</v>
      </c>
      <c r="F11" s="59">
        <f t="shared" si="14"/>
        <v>1.2000000000000002</v>
      </c>
      <c r="G11" s="59">
        <f t="shared" si="15"/>
        <v>6787.330316742083</v>
      </c>
      <c r="H11" s="59">
        <f t="shared" si="16"/>
        <v>2262</v>
      </c>
      <c r="I11" s="60">
        <f t="shared" si="17"/>
        <v>1571</v>
      </c>
      <c r="J11" s="61">
        <f t="shared" si="0"/>
        <v>1256.8</v>
      </c>
      <c r="K11" s="61">
        <f t="shared" si="1"/>
        <v>1256.8</v>
      </c>
      <c r="L11" s="62">
        <f t="shared" si="2"/>
        <v>1885.2</v>
      </c>
      <c r="M11" s="61">
        <f t="shared" si="18"/>
        <v>1791.86</v>
      </c>
      <c r="N11" s="49">
        <f t="shared" si="3"/>
        <v>1792</v>
      </c>
      <c r="O11" s="63">
        <v>1400</v>
      </c>
      <c r="P11" s="63">
        <v>8936</v>
      </c>
      <c r="Q11" s="63">
        <f>ROUND(P11/6,0)</f>
        <v>1489</v>
      </c>
      <c r="R11" s="63">
        <f>ROUND(P11/6,0)</f>
        <v>1489</v>
      </c>
      <c r="S11" s="63">
        <f>ROUND(P11/6,0)</f>
        <v>1489</v>
      </c>
      <c r="T11" s="63">
        <f>ROUND(P11/6,0)</f>
        <v>1489</v>
      </c>
      <c r="U11" s="63">
        <f>ROUND(P11/6,0)</f>
        <v>1489</v>
      </c>
      <c r="V11" s="63"/>
      <c r="W11" s="63">
        <f>P11-Q11-R11-S11-T11-U11</f>
        <v>1491</v>
      </c>
      <c r="X11" s="63">
        <f>SUM(Q11+R11+S11+T11+U11+W11)</f>
        <v>8936</v>
      </c>
      <c r="Y11" s="63"/>
      <c r="Z11" s="63"/>
      <c r="AA11" s="105">
        <v>1.2</v>
      </c>
      <c r="AB11" s="89">
        <f t="shared" si="19"/>
        <v>2262</v>
      </c>
      <c r="AC11" s="89">
        <f t="shared" si="20"/>
        <v>2262</v>
      </c>
      <c r="AD11" s="89">
        <f t="shared" si="21"/>
        <v>2262</v>
      </c>
      <c r="AE11" s="28">
        <f t="shared" si="22"/>
        <v>6786</v>
      </c>
      <c r="AF11" s="104">
        <f t="shared" si="23"/>
        <v>5755.656108597285</v>
      </c>
      <c r="AG11" s="104">
        <f t="shared" si="24"/>
        <v>5756</v>
      </c>
      <c r="AH11" s="104">
        <f t="shared" si="25"/>
        <v>1919</v>
      </c>
      <c r="AI11" s="104">
        <v>1919</v>
      </c>
      <c r="AJ11" s="64">
        <v>1919</v>
      </c>
      <c r="AK11" s="45">
        <f t="shared" si="26"/>
        <v>5757</v>
      </c>
      <c r="AL11" s="49">
        <f t="shared" si="27"/>
        <v>2239.2344497607655</v>
      </c>
      <c r="AM11" s="64">
        <f t="shared" si="28"/>
        <v>2239</v>
      </c>
      <c r="AN11" s="275">
        <f t="shared" si="29"/>
        <v>1.2000000000000002</v>
      </c>
      <c r="AO11" s="104">
        <v>1.2</v>
      </c>
      <c r="AP11" s="104">
        <f t="shared" si="39"/>
        <v>1.2000000000000002</v>
      </c>
      <c r="AQ11" s="104">
        <f t="shared" si="30"/>
        <v>2781.8160000000003</v>
      </c>
      <c r="AR11" s="104">
        <f t="shared" si="31"/>
        <v>3000</v>
      </c>
      <c r="AS11" s="104">
        <f t="shared" si="32"/>
        <v>3057</v>
      </c>
      <c r="AT11" s="104">
        <f t="shared" si="33"/>
        <v>10161</v>
      </c>
      <c r="AU11" s="284">
        <f t="shared" si="34"/>
        <v>2032.2</v>
      </c>
      <c r="AV11" s="278">
        <f t="shared" si="35"/>
        <v>1887</v>
      </c>
      <c r="AW11" s="278">
        <f t="shared" si="36"/>
        <v>2613</v>
      </c>
      <c r="AX11" s="158">
        <f t="shared" si="11"/>
        <v>2782</v>
      </c>
      <c r="AY11" s="158">
        <f t="shared" si="12"/>
        <v>2782</v>
      </c>
      <c r="AZ11" s="158">
        <f t="shared" si="13"/>
        <v>2782</v>
      </c>
      <c r="BA11" s="289"/>
      <c r="BB11" s="102">
        <v>3000</v>
      </c>
      <c r="BC11" s="158">
        <v>3000</v>
      </c>
      <c r="BD11" s="104">
        <v>3057</v>
      </c>
      <c r="BE11" s="289"/>
      <c r="BF11" s="188">
        <v>3057</v>
      </c>
      <c r="BG11" s="159">
        <v>1887</v>
      </c>
      <c r="BH11" s="159">
        <v>1887</v>
      </c>
      <c r="BI11" s="297"/>
      <c r="BJ11" s="42">
        <v>2613</v>
      </c>
      <c r="BK11" s="159">
        <v>1887</v>
      </c>
      <c r="BL11" s="228">
        <v>1887</v>
      </c>
      <c r="BM11" s="45">
        <f t="shared" si="37"/>
        <v>10161</v>
      </c>
      <c r="BN11" s="236">
        <f t="shared" si="38"/>
        <v>30621</v>
      </c>
      <c r="BO11" s="65"/>
      <c r="BP11" s="65" t="s">
        <v>22</v>
      </c>
      <c r="BQ11" s="66">
        <v>3</v>
      </c>
      <c r="BR11" s="193"/>
      <c r="BS11" s="193"/>
      <c r="BT11" s="193"/>
    </row>
    <row r="12" spans="1:72" s="67" customFormat="1" ht="28.5" customHeight="1">
      <c r="A12" s="56">
        <v>10</v>
      </c>
      <c r="B12" s="210" t="s">
        <v>7</v>
      </c>
      <c r="C12" s="57" t="s">
        <v>16</v>
      </c>
      <c r="D12" s="58">
        <v>0.8</v>
      </c>
      <c r="E12" s="58">
        <v>1.5</v>
      </c>
      <c r="F12" s="59">
        <f t="shared" si="14"/>
        <v>1.2000000000000002</v>
      </c>
      <c r="G12" s="59">
        <f t="shared" si="15"/>
        <v>6787.330316742083</v>
      </c>
      <c r="H12" s="59">
        <f t="shared" si="16"/>
        <v>2262</v>
      </c>
      <c r="I12" s="60">
        <f t="shared" si="17"/>
        <v>1571</v>
      </c>
      <c r="J12" s="61">
        <f t="shared" si="0"/>
        <v>1256.8</v>
      </c>
      <c r="K12" s="61">
        <f t="shared" si="1"/>
        <v>1256.8</v>
      </c>
      <c r="L12" s="62">
        <f t="shared" si="2"/>
        <v>1885.2</v>
      </c>
      <c r="M12" s="61">
        <f t="shared" si="18"/>
        <v>1791.86</v>
      </c>
      <c r="N12" s="49">
        <f t="shared" si="3"/>
        <v>1792</v>
      </c>
      <c r="O12" s="63">
        <v>1250</v>
      </c>
      <c r="P12" s="63">
        <v>7884</v>
      </c>
      <c r="Q12" s="63">
        <f t="shared" si="4"/>
        <v>1314</v>
      </c>
      <c r="R12" s="63">
        <f t="shared" si="5"/>
        <v>1314</v>
      </c>
      <c r="S12" s="63">
        <f t="shared" si="6"/>
        <v>1314</v>
      </c>
      <c r="T12" s="63">
        <f t="shared" si="7"/>
        <v>1314</v>
      </c>
      <c r="U12" s="63">
        <f t="shared" si="8"/>
        <v>1314</v>
      </c>
      <c r="V12" s="63"/>
      <c r="W12" s="63">
        <f t="shared" si="9"/>
        <v>1314</v>
      </c>
      <c r="X12" s="63">
        <f t="shared" si="10"/>
        <v>7884</v>
      </c>
      <c r="Y12" s="63"/>
      <c r="Z12" s="63"/>
      <c r="AA12" s="105">
        <v>1.2</v>
      </c>
      <c r="AB12" s="89">
        <f t="shared" si="19"/>
        <v>2262</v>
      </c>
      <c r="AC12" s="89">
        <f t="shared" si="20"/>
        <v>2262</v>
      </c>
      <c r="AD12" s="89">
        <f t="shared" si="21"/>
        <v>2262</v>
      </c>
      <c r="AE12" s="28">
        <f t="shared" si="22"/>
        <v>6786</v>
      </c>
      <c r="AF12" s="104">
        <f t="shared" si="23"/>
        <v>5755.656108597285</v>
      </c>
      <c r="AG12" s="104">
        <f t="shared" si="24"/>
        <v>5756</v>
      </c>
      <c r="AH12" s="104">
        <f t="shared" si="25"/>
        <v>1919</v>
      </c>
      <c r="AI12" s="104">
        <v>1919</v>
      </c>
      <c r="AJ12" s="64">
        <v>1919</v>
      </c>
      <c r="AK12" s="45">
        <f t="shared" si="26"/>
        <v>5757</v>
      </c>
      <c r="AL12" s="49">
        <f t="shared" si="27"/>
        <v>2239.2344497607655</v>
      </c>
      <c r="AM12" s="64">
        <f t="shared" si="28"/>
        <v>2239</v>
      </c>
      <c r="AN12" s="275">
        <f t="shared" si="29"/>
        <v>1.2000000000000002</v>
      </c>
      <c r="AO12" s="104">
        <v>1.2</v>
      </c>
      <c r="AP12" s="104">
        <f t="shared" si="39"/>
        <v>1.2000000000000002</v>
      </c>
      <c r="AQ12" s="104">
        <f t="shared" si="30"/>
        <v>2781.8160000000003</v>
      </c>
      <c r="AR12" s="104">
        <f t="shared" si="31"/>
        <v>3000</v>
      </c>
      <c r="AS12" s="104">
        <f t="shared" si="32"/>
        <v>3057</v>
      </c>
      <c r="AT12" s="104">
        <f t="shared" si="33"/>
        <v>10161</v>
      </c>
      <c r="AU12" s="284">
        <f t="shared" si="34"/>
        <v>2032.2</v>
      </c>
      <c r="AV12" s="278">
        <f t="shared" si="35"/>
        <v>1887</v>
      </c>
      <c r="AW12" s="278">
        <f t="shared" si="36"/>
        <v>2613</v>
      </c>
      <c r="AX12" s="158">
        <f t="shared" si="11"/>
        <v>2782</v>
      </c>
      <c r="AY12" s="158">
        <f t="shared" si="12"/>
        <v>2782</v>
      </c>
      <c r="AZ12" s="158">
        <f t="shared" si="13"/>
        <v>2782</v>
      </c>
      <c r="BA12" s="289"/>
      <c r="BB12" s="102">
        <v>3000</v>
      </c>
      <c r="BC12" s="158">
        <v>3000</v>
      </c>
      <c r="BD12" s="104">
        <v>3057</v>
      </c>
      <c r="BE12" s="289"/>
      <c r="BF12" s="188">
        <v>3057</v>
      </c>
      <c r="BG12" s="159">
        <v>1887</v>
      </c>
      <c r="BH12" s="159">
        <v>1887</v>
      </c>
      <c r="BI12" s="297"/>
      <c r="BJ12" s="42">
        <v>2613</v>
      </c>
      <c r="BK12" s="159">
        <v>1887</v>
      </c>
      <c r="BL12" s="228">
        <v>1887</v>
      </c>
      <c r="BM12" s="45">
        <f t="shared" si="37"/>
        <v>10161</v>
      </c>
      <c r="BN12" s="236">
        <f t="shared" si="38"/>
        <v>30621</v>
      </c>
      <c r="BO12" s="65"/>
      <c r="BP12" s="65" t="s">
        <v>23</v>
      </c>
      <c r="BQ12" s="66">
        <v>3</v>
      </c>
      <c r="BR12" s="193"/>
      <c r="BS12" s="193"/>
      <c r="BT12" s="193"/>
    </row>
    <row r="13" spans="1:72" s="19" customFormat="1" ht="24.75" customHeight="1">
      <c r="A13" s="163">
        <v>11</v>
      </c>
      <c r="B13" s="200" t="s">
        <v>62</v>
      </c>
      <c r="C13" s="164" t="s">
        <v>17</v>
      </c>
      <c r="D13" s="165">
        <v>1.2</v>
      </c>
      <c r="E13" s="166">
        <v>1</v>
      </c>
      <c r="F13" s="36">
        <f t="shared" si="14"/>
        <v>1.2</v>
      </c>
      <c r="G13" s="40">
        <f t="shared" si="15"/>
        <v>6787.330316742081</v>
      </c>
      <c r="H13" s="40">
        <f t="shared" si="16"/>
        <v>2262</v>
      </c>
      <c r="I13" s="29">
        <f t="shared" si="17"/>
        <v>1571</v>
      </c>
      <c r="J13" s="30">
        <f t="shared" si="0"/>
        <v>1885.2</v>
      </c>
      <c r="K13" s="30">
        <f t="shared" si="1"/>
        <v>1885.2</v>
      </c>
      <c r="L13" s="31">
        <f t="shared" si="2"/>
        <v>1885.2</v>
      </c>
      <c r="M13" s="30">
        <f t="shared" si="18"/>
        <v>1791.86</v>
      </c>
      <c r="N13" s="21">
        <f t="shared" si="3"/>
        <v>1792</v>
      </c>
      <c r="O13" s="24">
        <v>1400</v>
      </c>
      <c r="P13" s="23">
        <v>8936</v>
      </c>
      <c r="Q13" s="24">
        <f t="shared" si="4"/>
        <v>1489</v>
      </c>
      <c r="R13" s="24">
        <f t="shared" si="5"/>
        <v>1489</v>
      </c>
      <c r="S13" s="24">
        <f t="shared" si="6"/>
        <v>1489</v>
      </c>
      <c r="T13" s="24">
        <f t="shared" si="7"/>
        <v>1489</v>
      </c>
      <c r="U13" s="24">
        <f t="shared" si="8"/>
        <v>1489</v>
      </c>
      <c r="V13" s="24"/>
      <c r="W13" s="24">
        <f t="shared" si="9"/>
        <v>1491</v>
      </c>
      <c r="X13" s="24">
        <f t="shared" si="10"/>
        <v>8936</v>
      </c>
      <c r="Y13" s="24"/>
      <c r="Z13" s="24"/>
      <c r="AA13" s="105">
        <v>1.2</v>
      </c>
      <c r="AB13" s="44">
        <f t="shared" si="19"/>
        <v>2262</v>
      </c>
      <c r="AC13" s="44">
        <f t="shared" si="20"/>
        <v>2262</v>
      </c>
      <c r="AD13" s="44">
        <f t="shared" si="21"/>
        <v>2262</v>
      </c>
      <c r="AE13" s="28">
        <f t="shared" si="22"/>
        <v>6786</v>
      </c>
      <c r="AF13" s="102">
        <f t="shared" si="23"/>
        <v>5755.656108597284</v>
      </c>
      <c r="AG13" s="102">
        <f t="shared" si="24"/>
        <v>5756</v>
      </c>
      <c r="AH13" s="102">
        <f t="shared" si="25"/>
        <v>1919</v>
      </c>
      <c r="AI13" s="102">
        <v>1919</v>
      </c>
      <c r="AJ13" s="22">
        <v>1919</v>
      </c>
      <c r="AK13" s="45">
        <f t="shared" si="26"/>
        <v>5757</v>
      </c>
      <c r="AL13" s="43">
        <f t="shared" si="27"/>
        <v>2239.2344497607655</v>
      </c>
      <c r="AM13" s="45">
        <f t="shared" si="28"/>
        <v>2239</v>
      </c>
      <c r="AN13" s="275">
        <f t="shared" si="29"/>
        <v>1.2</v>
      </c>
      <c r="AO13" s="275">
        <v>1.2</v>
      </c>
      <c r="AP13" s="242">
        <f t="shared" si="39"/>
        <v>1.2</v>
      </c>
      <c r="AQ13" s="275">
        <f t="shared" si="30"/>
        <v>2781.816</v>
      </c>
      <c r="AR13" s="275">
        <f t="shared" si="31"/>
        <v>3000</v>
      </c>
      <c r="AS13" s="275">
        <f t="shared" si="32"/>
        <v>3057</v>
      </c>
      <c r="AT13" s="242">
        <f t="shared" si="33"/>
        <v>10161</v>
      </c>
      <c r="AU13" s="284">
        <f t="shared" si="34"/>
        <v>2032.2</v>
      </c>
      <c r="AV13" s="278">
        <f t="shared" si="35"/>
        <v>1887</v>
      </c>
      <c r="AW13" s="278">
        <f t="shared" si="36"/>
        <v>2613</v>
      </c>
      <c r="AX13" s="158">
        <f t="shared" si="11"/>
        <v>2782</v>
      </c>
      <c r="AY13" s="158">
        <f t="shared" si="12"/>
        <v>2782</v>
      </c>
      <c r="AZ13" s="158">
        <f t="shared" si="13"/>
        <v>2782</v>
      </c>
      <c r="BA13" s="289"/>
      <c r="BB13" s="102">
        <v>3000</v>
      </c>
      <c r="BC13" s="158">
        <v>3000</v>
      </c>
      <c r="BD13" s="242">
        <v>3057</v>
      </c>
      <c r="BE13" s="289"/>
      <c r="BF13" s="188">
        <v>3057</v>
      </c>
      <c r="BG13" s="160">
        <v>1887</v>
      </c>
      <c r="BH13" s="160">
        <v>1887</v>
      </c>
      <c r="BI13" s="297"/>
      <c r="BJ13" s="42">
        <v>2613</v>
      </c>
      <c r="BK13" s="160">
        <v>1887</v>
      </c>
      <c r="BL13" s="229">
        <v>1887</v>
      </c>
      <c r="BM13" s="45">
        <f t="shared" si="37"/>
        <v>10161</v>
      </c>
      <c r="BN13" s="236">
        <f t="shared" si="38"/>
        <v>30621</v>
      </c>
      <c r="BO13" s="34" t="s">
        <v>19</v>
      </c>
      <c r="BP13" s="34"/>
      <c r="BQ13" s="18">
        <v>3</v>
      </c>
      <c r="BR13" s="194"/>
      <c r="BS13" s="194"/>
      <c r="BT13" s="194"/>
    </row>
    <row r="14" spans="1:72" s="121" customFormat="1" ht="26.25" customHeight="1">
      <c r="A14" s="163">
        <v>12</v>
      </c>
      <c r="B14" s="237" t="s">
        <v>8</v>
      </c>
      <c r="C14" s="164" t="s">
        <v>17</v>
      </c>
      <c r="D14" s="166">
        <v>1.2</v>
      </c>
      <c r="E14" s="166">
        <v>1</v>
      </c>
      <c r="F14" s="111">
        <f t="shared" si="14"/>
        <v>1.2</v>
      </c>
      <c r="G14" s="111">
        <f t="shared" si="15"/>
        <v>6787.330316742081</v>
      </c>
      <c r="H14" s="111">
        <f t="shared" si="16"/>
        <v>2262</v>
      </c>
      <c r="I14" s="112">
        <f t="shared" si="17"/>
        <v>1571</v>
      </c>
      <c r="J14" s="113">
        <f t="shared" si="0"/>
        <v>1885.2</v>
      </c>
      <c r="K14" s="113">
        <f t="shared" si="1"/>
        <v>1885.2</v>
      </c>
      <c r="L14" s="114">
        <f t="shared" si="2"/>
        <v>1885.2</v>
      </c>
      <c r="M14" s="113">
        <f t="shared" si="18"/>
        <v>1791.86</v>
      </c>
      <c r="N14" s="115">
        <f>ROUND(M14,0)-2</f>
        <v>1790</v>
      </c>
      <c r="O14" s="115">
        <v>1800</v>
      </c>
      <c r="P14" s="115">
        <v>11498</v>
      </c>
      <c r="Q14" s="115">
        <f t="shared" si="4"/>
        <v>1916</v>
      </c>
      <c r="R14" s="115">
        <f t="shared" si="5"/>
        <v>1916</v>
      </c>
      <c r="S14" s="115">
        <f t="shared" si="6"/>
        <v>1916</v>
      </c>
      <c r="T14" s="115">
        <f t="shared" si="7"/>
        <v>1916</v>
      </c>
      <c r="U14" s="115">
        <f t="shared" si="8"/>
        <v>1916</v>
      </c>
      <c r="V14" s="115"/>
      <c r="W14" s="115">
        <f t="shared" si="9"/>
        <v>1918</v>
      </c>
      <c r="X14" s="115">
        <f t="shared" si="10"/>
        <v>11498</v>
      </c>
      <c r="Y14" s="115"/>
      <c r="Z14" s="115"/>
      <c r="AA14" s="111">
        <v>1.5</v>
      </c>
      <c r="AB14" s="116">
        <f>H14+7</f>
        <v>2269</v>
      </c>
      <c r="AC14" s="116">
        <f>H14+8</f>
        <v>2270</v>
      </c>
      <c r="AD14" s="116">
        <f>H14+8</f>
        <v>2270</v>
      </c>
      <c r="AE14" s="28">
        <f t="shared" si="22"/>
        <v>6809</v>
      </c>
      <c r="AF14" s="117">
        <f t="shared" si="23"/>
        <v>5755.656108597284</v>
      </c>
      <c r="AG14" s="117">
        <f t="shared" si="24"/>
        <v>5756</v>
      </c>
      <c r="AH14" s="117">
        <f t="shared" si="25"/>
        <v>1919</v>
      </c>
      <c r="AI14" s="117">
        <v>2398</v>
      </c>
      <c r="AJ14" s="118">
        <v>2398</v>
      </c>
      <c r="AK14" s="45">
        <f t="shared" si="26"/>
        <v>6715</v>
      </c>
      <c r="AL14" s="115">
        <f t="shared" si="27"/>
        <v>2799.043062200957</v>
      </c>
      <c r="AM14" s="118">
        <f>ROUND(AL14,0)+1</f>
        <v>2800</v>
      </c>
      <c r="AN14" s="275">
        <f t="shared" si="29"/>
        <v>1.2</v>
      </c>
      <c r="AO14" s="275">
        <v>1.2</v>
      </c>
      <c r="AP14" s="242">
        <f t="shared" si="39"/>
        <v>1.2</v>
      </c>
      <c r="AQ14" s="275">
        <f t="shared" si="30"/>
        <v>2781.816</v>
      </c>
      <c r="AR14" s="275">
        <f t="shared" si="31"/>
        <v>3000</v>
      </c>
      <c r="AS14" s="275">
        <f>ROUND(2547.16*AO14,0)-4</f>
        <v>3053</v>
      </c>
      <c r="AT14" s="242">
        <f>ROUND(8467.74*AP14,0)+3</f>
        <v>10164</v>
      </c>
      <c r="AU14" s="284">
        <f t="shared" si="34"/>
        <v>2032.8</v>
      </c>
      <c r="AV14" s="278">
        <f>ROUND(1572.58*AP14,0)-1</f>
        <v>1886</v>
      </c>
      <c r="AW14" s="278">
        <f>ROUND(2177.41*AP14,0)+1</f>
        <v>2614</v>
      </c>
      <c r="AX14" s="158">
        <f>ROUND(AQ14,0)-5</f>
        <v>2777</v>
      </c>
      <c r="AY14" s="158">
        <f aca="true" t="shared" si="40" ref="AY14:AZ25">ROUND(AX14,0)</f>
        <v>2777</v>
      </c>
      <c r="AZ14" s="158">
        <f t="shared" si="40"/>
        <v>2777</v>
      </c>
      <c r="BA14" s="289"/>
      <c r="BB14" s="102">
        <v>3000</v>
      </c>
      <c r="BC14" s="158">
        <v>3000</v>
      </c>
      <c r="BD14" s="243">
        <v>3053</v>
      </c>
      <c r="BE14" s="289"/>
      <c r="BF14" s="188">
        <v>3053</v>
      </c>
      <c r="BG14" s="162">
        <v>1886</v>
      </c>
      <c r="BH14" s="162">
        <v>1886</v>
      </c>
      <c r="BI14" s="297"/>
      <c r="BJ14" s="42">
        <v>2614</v>
      </c>
      <c r="BK14" s="162">
        <v>1886</v>
      </c>
      <c r="BL14" s="231">
        <v>1886</v>
      </c>
      <c r="BM14" s="45">
        <f t="shared" si="37"/>
        <v>10158</v>
      </c>
      <c r="BN14" s="236">
        <f t="shared" si="38"/>
        <v>30595</v>
      </c>
      <c r="BO14" s="34" t="s">
        <v>19</v>
      </c>
      <c r="BP14" s="119" t="s">
        <v>25</v>
      </c>
      <c r="BQ14" s="120">
        <v>3</v>
      </c>
      <c r="BR14" s="192"/>
      <c r="BS14" s="192"/>
      <c r="BT14" s="192"/>
    </row>
    <row r="15" spans="1:72" s="82" customFormat="1" ht="24" customHeight="1">
      <c r="A15" s="68">
        <v>13</v>
      </c>
      <c r="B15" s="201" t="s">
        <v>38</v>
      </c>
      <c r="C15" s="69" t="s">
        <v>16</v>
      </c>
      <c r="D15" s="70">
        <v>0.8</v>
      </c>
      <c r="E15" s="71">
        <v>1</v>
      </c>
      <c r="F15" s="72">
        <f t="shared" si="14"/>
        <v>0.8</v>
      </c>
      <c r="G15" s="72">
        <f t="shared" si="15"/>
        <v>4524.886877828055</v>
      </c>
      <c r="H15" s="72">
        <f t="shared" si="16"/>
        <v>1508</v>
      </c>
      <c r="I15" s="73">
        <f t="shared" si="17"/>
        <v>1571</v>
      </c>
      <c r="J15" s="74">
        <f t="shared" si="0"/>
        <v>1256.8</v>
      </c>
      <c r="K15" s="74">
        <f t="shared" si="1"/>
        <v>1256.8</v>
      </c>
      <c r="L15" s="74">
        <f t="shared" si="2"/>
        <v>1256.8</v>
      </c>
      <c r="M15" s="74">
        <f t="shared" si="18"/>
        <v>1194.57</v>
      </c>
      <c r="N15" s="75">
        <f t="shared" si="3"/>
        <v>1195</v>
      </c>
      <c r="O15" s="76"/>
      <c r="P15" s="77">
        <v>5870</v>
      </c>
      <c r="Q15" s="77">
        <f>ROUND(P15/6,0)</f>
        <v>978</v>
      </c>
      <c r="R15" s="77">
        <f>ROUND(P15/6,0)</f>
        <v>978</v>
      </c>
      <c r="S15" s="77">
        <f>ROUND(P15/6,0)</f>
        <v>978</v>
      </c>
      <c r="T15" s="77">
        <f>ROUND(P15/6,0)</f>
        <v>978</v>
      </c>
      <c r="U15" s="77">
        <f>ROUND(P15/6,0)</f>
        <v>978</v>
      </c>
      <c r="V15" s="76"/>
      <c r="W15" s="77">
        <f>P15-Q15-R15-S15-T15-U15</f>
        <v>980</v>
      </c>
      <c r="X15" s="77">
        <f>SUM(Q15+R15+S15+T15+U15+W15)</f>
        <v>5870</v>
      </c>
      <c r="Y15" s="77"/>
      <c r="Z15" s="77"/>
      <c r="AA15" s="105">
        <v>0.8</v>
      </c>
      <c r="AB15" s="78">
        <f t="shared" si="19"/>
        <v>1508</v>
      </c>
      <c r="AC15" s="78">
        <f t="shared" si="20"/>
        <v>1508</v>
      </c>
      <c r="AD15" s="78">
        <f t="shared" si="21"/>
        <v>1508</v>
      </c>
      <c r="AE15" s="28">
        <f t="shared" si="22"/>
        <v>4524</v>
      </c>
      <c r="AF15" s="103">
        <f t="shared" si="23"/>
        <v>3837.1040723981896</v>
      </c>
      <c r="AG15" s="103">
        <f t="shared" si="24"/>
        <v>3837</v>
      </c>
      <c r="AH15" s="103">
        <f t="shared" si="25"/>
        <v>1279</v>
      </c>
      <c r="AI15" s="103">
        <v>1279</v>
      </c>
      <c r="AJ15" s="79">
        <v>1279</v>
      </c>
      <c r="AK15" s="45">
        <f t="shared" si="26"/>
        <v>3837</v>
      </c>
      <c r="AL15" s="75">
        <f t="shared" si="27"/>
        <v>1492.8229665071772</v>
      </c>
      <c r="AM15" s="79">
        <f t="shared" si="28"/>
        <v>1493</v>
      </c>
      <c r="AN15" s="275">
        <f t="shared" si="29"/>
        <v>0.8</v>
      </c>
      <c r="AO15" s="103">
        <v>0.8</v>
      </c>
      <c r="AP15" s="103">
        <f t="shared" si="39"/>
        <v>0.8</v>
      </c>
      <c r="AQ15" s="103">
        <f t="shared" si="30"/>
        <v>1854.5439999999999</v>
      </c>
      <c r="AR15" s="103">
        <f t="shared" si="31"/>
        <v>2000</v>
      </c>
      <c r="AS15" s="103">
        <f t="shared" si="32"/>
        <v>2038</v>
      </c>
      <c r="AT15" s="103">
        <f t="shared" si="33"/>
        <v>6774</v>
      </c>
      <c r="AU15" s="284">
        <f t="shared" si="34"/>
        <v>1354.8</v>
      </c>
      <c r="AV15" s="278">
        <f t="shared" si="35"/>
        <v>1258</v>
      </c>
      <c r="AW15" s="278">
        <f t="shared" si="36"/>
        <v>1742</v>
      </c>
      <c r="AX15" s="158">
        <f aca="true" t="shared" si="41" ref="AX15:AX25">ROUND(AQ15,0)</f>
        <v>1855</v>
      </c>
      <c r="AY15" s="158">
        <f t="shared" si="40"/>
        <v>1855</v>
      </c>
      <c r="AZ15" s="158">
        <f t="shared" si="40"/>
        <v>1855</v>
      </c>
      <c r="BA15" s="289"/>
      <c r="BB15" s="102">
        <v>2000</v>
      </c>
      <c r="BC15" s="158">
        <v>2000</v>
      </c>
      <c r="BD15" s="103">
        <v>2038</v>
      </c>
      <c r="BE15" s="289"/>
      <c r="BF15" s="188">
        <v>2038</v>
      </c>
      <c r="BG15" s="161">
        <v>1258</v>
      </c>
      <c r="BH15" s="161">
        <v>1258</v>
      </c>
      <c r="BI15" s="297"/>
      <c r="BJ15" s="42">
        <v>1742</v>
      </c>
      <c r="BK15" s="161">
        <v>1258</v>
      </c>
      <c r="BL15" s="230">
        <v>1258</v>
      </c>
      <c r="BM15" s="45">
        <f t="shared" si="37"/>
        <v>6774</v>
      </c>
      <c r="BN15" s="236">
        <f t="shared" si="38"/>
        <v>20415</v>
      </c>
      <c r="BO15" s="80" t="s">
        <v>19</v>
      </c>
      <c r="BP15" s="80"/>
      <c r="BQ15" s="81">
        <v>3</v>
      </c>
      <c r="BR15" s="193"/>
      <c r="BS15" s="193"/>
      <c r="BT15" s="193"/>
    </row>
    <row r="16" spans="1:72" s="82" customFormat="1" ht="24" customHeight="1">
      <c r="A16" s="68">
        <v>14</v>
      </c>
      <c r="B16" s="201" t="s">
        <v>10</v>
      </c>
      <c r="C16" s="83" t="s">
        <v>16</v>
      </c>
      <c r="D16" s="71">
        <v>0.8</v>
      </c>
      <c r="E16" s="84">
        <v>1</v>
      </c>
      <c r="F16" s="72">
        <f t="shared" si="14"/>
        <v>0.8</v>
      </c>
      <c r="G16" s="72">
        <f t="shared" si="15"/>
        <v>4524.886877828055</v>
      </c>
      <c r="H16" s="72">
        <f t="shared" si="16"/>
        <v>1508</v>
      </c>
      <c r="I16" s="73">
        <f t="shared" si="17"/>
        <v>1571</v>
      </c>
      <c r="J16" s="74">
        <f t="shared" si="0"/>
        <v>1256.8</v>
      </c>
      <c r="K16" s="74">
        <f t="shared" si="1"/>
        <v>1256.8</v>
      </c>
      <c r="L16" s="74">
        <f t="shared" si="2"/>
        <v>1256.8</v>
      </c>
      <c r="M16" s="74">
        <f t="shared" si="18"/>
        <v>1194.57</v>
      </c>
      <c r="N16" s="75">
        <f t="shared" si="3"/>
        <v>1195</v>
      </c>
      <c r="O16" s="77">
        <v>1000</v>
      </c>
      <c r="P16" s="77">
        <v>5957</v>
      </c>
      <c r="Q16" s="77">
        <f>ROUND(P16/6,0)</f>
        <v>993</v>
      </c>
      <c r="R16" s="77">
        <f>ROUND(P16/6,0)</f>
        <v>993</v>
      </c>
      <c r="S16" s="77">
        <f>ROUND(P16/6,0)</f>
        <v>993</v>
      </c>
      <c r="T16" s="77">
        <f>ROUND(P16/6,0)</f>
        <v>993</v>
      </c>
      <c r="U16" s="77">
        <f>ROUND(P16/6,0)</f>
        <v>993</v>
      </c>
      <c r="V16" s="77"/>
      <c r="W16" s="77">
        <f>P16-Q16-R16-S16-T16-U16</f>
        <v>992</v>
      </c>
      <c r="X16" s="77">
        <f>SUM(Q16+R16+S16+T16+U16+W16)</f>
        <v>5957</v>
      </c>
      <c r="Y16" s="77"/>
      <c r="Z16" s="77"/>
      <c r="AA16" s="105">
        <v>0.8</v>
      </c>
      <c r="AB16" s="78">
        <f t="shared" si="19"/>
        <v>1508</v>
      </c>
      <c r="AC16" s="78">
        <f t="shared" si="20"/>
        <v>1508</v>
      </c>
      <c r="AD16" s="78">
        <f t="shared" si="21"/>
        <v>1508</v>
      </c>
      <c r="AE16" s="28">
        <f t="shared" si="22"/>
        <v>4524</v>
      </c>
      <c r="AF16" s="103">
        <f t="shared" si="23"/>
        <v>3837.1040723981896</v>
      </c>
      <c r="AG16" s="103">
        <f t="shared" si="24"/>
        <v>3837</v>
      </c>
      <c r="AH16" s="103">
        <f t="shared" si="25"/>
        <v>1279</v>
      </c>
      <c r="AI16" s="103">
        <v>1279</v>
      </c>
      <c r="AJ16" s="79">
        <v>1279</v>
      </c>
      <c r="AK16" s="45">
        <f t="shared" si="26"/>
        <v>3837</v>
      </c>
      <c r="AL16" s="75">
        <f t="shared" si="27"/>
        <v>1492.8229665071772</v>
      </c>
      <c r="AM16" s="79">
        <f t="shared" si="28"/>
        <v>1493</v>
      </c>
      <c r="AN16" s="275">
        <f t="shared" si="29"/>
        <v>0.8</v>
      </c>
      <c r="AO16" s="103">
        <v>0.8</v>
      </c>
      <c r="AP16" s="103">
        <f t="shared" si="39"/>
        <v>0.8</v>
      </c>
      <c r="AQ16" s="103">
        <f t="shared" si="30"/>
        <v>1854.5439999999999</v>
      </c>
      <c r="AR16" s="103">
        <f t="shared" si="31"/>
        <v>2000</v>
      </c>
      <c r="AS16" s="103">
        <f t="shared" si="32"/>
        <v>2038</v>
      </c>
      <c r="AT16" s="103">
        <f t="shared" si="33"/>
        <v>6774</v>
      </c>
      <c r="AU16" s="284">
        <f t="shared" si="34"/>
        <v>1354.8</v>
      </c>
      <c r="AV16" s="278">
        <f t="shared" si="35"/>
        <v>1258</v>
      </c>
      <c r="AW16" s="278">
        <f t="shared" si="36"/>
        <v>1742</v>
      </c>
      <c r="AX16" s="158">
        <f t="shared" si="41"/>
        <v>1855</v>
      </c>
      <c r="AY16" s="158">
        <f t="shared" si="40"/>
        <v>1855</v>
      </c>
      <c r="AZ16" s="158">
        <f t="shared" si="40"/>
        <v>1855</v>
      </c>
      <c r="BA16" s="289"/>
      <c r="BB16" s="102">
        <v>2000</v>
      </c>
      <c r="BC16" s="158">
        <v>2000</v>
      </c>
      <c r="BD16" s="103">
        <v>2038</v>
      </c>
      <c r="BE16" s="289"/>
      <c r="BF16" s="188">
        <v>2038</v>
      </c>
      <c r="BG16" s="161">
        <v>1258</v>
      </c>
      <c r="BH16" s="161">
        <v>1258</v>
      </c>
      <c r="BI16" s="297"/>
      <c r="BJ16" s="42">
        <v>1742</v>
      </c>
      <c r="BK16" s="161">
        <v>1258</v>
      </c>
      <c r="BL16" s="230">
        <v>1258</v>
      </c>
      <c r="BM16" s="45">
        <f t="shared" si="37"/>
        <v>6774</v>
      </c>
      <c r="BN16" s="236">
        <f t="shared" si="38"/>
        <v>20415</v>
      </c>
      <c r="BO16" s="80" t="s">
        <v>19</v>
      </c>
      <c r="BP16" s="80"/>
      <c r="BQ16" s="81">
        <v>3</v>
      </c>
      <c r="BR16" s="193"/>
      <c r="BS16" s="193"/>
      <c r="BT16" s="193"/>
    </row>
    <row r="17" spans="1:72" s="82" customFormat="1" ht="24" customHeight="1">
      <c r="A17" s="68">
        <v>15</v>
      </c>
      <c r="B17" s="201" t="s">
        <v>50</v>
      </c>
      <c r="C17" s="69" t="s">
        <v>16</v>
      </c>
      <c r="D17" s="70">
        <v>0.8</v>
      </c>
      <c r="E17" s="71">
        <v>1</v>
      </c>
      <c r="F17" s="72">
        <f t="shared" si="14"/>
        <v>0.8</v>
      </c>
      <c r="G17" s="72">
        <f t="shared" si="15"/>
        <v>4524.886877828055</v>
      </c>
      <c r="H17" s="72">
        <f t="shared" si="16"/>
        <v>1508</v>
      </c>
      <c r="I17" s="73">
        <f t="shared" si="17"/>
        <v>1571</v>
      </c>
      <c r="J17" s="74">
        <f t="shared" si="0"/>
        <v>1256.8</v>
      </c>
      <c r="K17" s="74">
        <f t="shared" si="1"/>
        <v>1256.8</v>
      </c>
      <c r="L17" s="74">
        <f t="shared" si="2"/>
        <v>1256.8</v>
      </c>
      <c r="M17" s="74">
        <f t="shared" si="18"/>
        <v>1194.57</v>
      </c>
      <c r="N17" s="75">
        <f t="shared" si="3"/>
        <v>1195</v>
      </c>
      <c r="O17" s="76"/>
      <c r="P17" s="77">
        <v>5962</v>
      </c>
      <c r="Q17" s="77">
        <f>ROUND(P17/6,0)</f>
        <v>994</v>
      </c>
      <c r="R17" s="77">
        <f>ROUND(P17/6,0)</f>
        <v>994</v>
      </c>
      <c r="S17" s="77">
        <f>ROUND(P17/6,0)</f>
        <v>994</v>
      </c>
      <c r="T17" s="77">
        <f>ROUND(P17/6,0)</f>
        <v>994</v>
      </c>
      <c r="U17" s="77">
        <f>ROUND(P17/6,0)</f>
        <v>994</v>
      </c>
      <c r="V17" s="76"/>
      <c r="W17" s="77">
        <f>P17-Q17-R17-S17-T17-U17</f>
        <v>992</v>
      </c>
      <c r="X17" s="77">
        <f>SUM(Q17+R17+S17+T17+U17+W17)</f>
        <v>5962</v>
      </c>
      <c r="Y17" s="77"/>
      <c r="Z17" s="77"/>
      <c r="AA17" s="105">
        <v>0.8</v>
      </c>
      <c r="AB17" s="78">
        <f t="shared" si="19"/>
        <v>1508</v>
      </c>
      <c r="AC17" s="78">
        <f t="shared" si="20"/>
        <v>1508</v>
      </c>
      <c r="AD17" s="78">
        <f t="shared" si="21"/>
        <v>1508</v>
      </c>
      <c r="AE17" s="28">
        <f t="shared" si="22"/>
        <v>4524</v>
      </c>
      <c r="AF17" s="103">
        <f t="shared" si="23"/>
        <v>3837.1040723981896</v>
      </c>
      <c r="AG17" s="103">
        <f t="shared" si="24"/>
        <v>3837</v>
      </c>
      <c r="AH17" s="103">
        <f t="shared" si="25"/>
        <v>1279</v>
      </c>
      <c r="AI17" s="103">
        <v>1279</v>
      </c>
      <c r="AJ17" s="79">
        <v>1279</v>
      </c>
      <c r="AK17" s="45">
        <f t="shared" si="26"/>
        <v>3837</v>
      </c>
      <c r="AL17" s="75">
        <f t="shared" si="27"/>
        <v>1492.8229665071772</v>
      </c>
      <c r="AM17" s="79">
        <f t="shared" si="28"/>
        <v>1493</v>
      </c>
      <c r="AN17" s="275">
        <f t="shared" si="29"/>
        <v>0.8</v>
      </c>
      <c r="AO17" s="103">
        <v>0.8</v>
      </c>
      <c r="AP17" s="103">
        <f t="shared" si="39"/>
        <v>0.8</v>
      </c>
      <c r="AQ17" s="103">
        <f t="shared" si="30"/>
        <v>1854.5439999999999</v>
      </c>
      <c r="AR17" s="103">
        <f t="shared" si="31"/>
        <v>2000</v>
      </c>
      <c r="AS17" s="103">
        <f t="shared" si="32"/>
        <v>2038</v>
      </c>
      <c r="AT17" s="103">
        <f t="shared" si="33"/>
        <v>6774</v>
      </c>
      <c r="AU17" s="284">
        <f t="shared" si="34"/>
        <v>1354.8</v>
      </c>
      <c r="AV17" s="278">
        <f t="shared" si="35"/>
        <v>1258</v>
      </c>
      <c r="AW17" s="278">
        <f t="shared" si="36"/>
        <v>1742</v>
      </c>
      <c r="AX17" s="158">
        <f t="shared" si="41"/>
        <v>1855</v>
      </c>
      <c r="AY17" s="158">
        <f t="shared" si="40"/>
        <v>1855</v>
      </c>
      <c r="AZ17" s="158">
        <f t="shared" si="40"/>
        <v>1855</v>
      </c>
      <c r="BA17" s="289"/>
      <c r="BB17" s="102">
        <v>2000</v>
      </c>
      <c r="BC17" s="158">
        <v>2000</v>
      </c>
      <c r="BD17" s="103">
        <v>2038</v>
      </c>
      <c r="BE17" s="289"/>
      <c r="BF17" s="188">
        <v>2038</v>
      </c>
      <c r="BG17" s="161">
        <v>1258</v>
      </c>
      <c r="BH17" s="161">
        <v>1258</v>
      </c>
      <c r="BI17" s="297"/>
      <c r="BJ17" s="42">
        <v>1742</v>
      </c>
      <c r="BK17" s="161">
        <v>1258</v>
      </c>
      <c r="BL17" s="230">
        <v>1258</v>
      </c>
      <c r="BM17" s="45">
        <f t="shared" si="37"/>
        <v>6774</v>
      </c>
      <c r="BN17" s="236">
        <f t="shared" si="38"/>
        <v>20415</v>
      </c>
      <c r="BO17" s="80" t="s">
        <v>19</v>
      </c>
      <c r="BP17" s="80"/>
      <c r="BQ17" s="81">
        <v>3</v>
      </c>
      <c r="BR17" s="193"/>
      <c r="BS17" s="193"/>
      <c r="BT17" s="193"/>
    </row>
    <row r="18" spans="1:72" s="82" customFormat="1" ht="22.5" customHeight="1">
      <c r="A18" s="68">
        <v>16</v>
      </c>
      <c r="B18" s="201" t="s">
        <v>11</v>
      </c>
      <c r="C18" s="83" t="s">
        <v>16</v>
      </c>
      <c r="D18" s="71">
        <v>0.8</v>
      </c>
      <c r="E18" s="71">
        <v>1</v>
      </c>
      <c r="F18" s="72">
        <f t="shared" si="14"/>
        <v>0.8</v>
      </c>
      <c r="G18" s="72">
        <f t="shared" si="15"/>
        <v>4524.886877828055</v>
      </c>
      <c r="H18" s="72">
        <f t="shared" si="16"/>
        <v>1508</v>
      </c>
      <c r="I18" s="73">
        <f t="shared" si="17"/>
        <v>1571</v>
      </c>
      <c r="J18" s="74">
        <f t="shared" si="0"/>
        <v>1256.8</v>
      </c>
      <c r="K18" s="74">
        <f t="shared" si="1"/>
        <v>1256.8</v>
      </c>
      <c r="L18" s="85">
        <f t="shared" si="2"/>
        <v>1256.8</v>
      </c>
      <c r="M18" s="74">
        <f t="shared" si="18"/>
        <v>1194.57</v>
      </c>
      <c r="N18" s="75">
        <f t="shared" si="3"/>
        <v>1195</v>
      </c>
      <c r="O18" s="77">
        <v>1400</v>
      </c>
      <c r="P18" s="77">
        <v>8936</v>
      </c>
      <c r="Q18" s="77">
        <f>ROUND(P18/6,0)</f>
        <v>1489</v>
      </c>
      <c r="R18" s="77">
        <f>ROUND(P18/6,0)</f>
        <v>1489</v>
      </c>
      <c r="S18" s="77">
        <f>ROUND(P18/6,0)</f>
        <v>1489</v>
      </c>
      <c r="T18" s="77">
        <f>ROUND(P18/6,0)</f>
        <v>1489</v>
      </c>
      <c r="U18" s="77">
        <f>ROUND(P18/6,0)</f>
        <v>1489</v>
      </c>
      <c r="V18" s="77"/>
      <c r="W18" s="77">
        <f>P18-Q18-R18-S18-T18-U18</f>
        <v>1491</v>
      </c>
      <c r="X18" s="77">
        <f>SUM(Q18+R18+S18+T18+U18+W18)</f>
        <v>8936</v>
      </c>
      <c r="Y18" s="77"/>
      <c r="Z18" s="77"/>
      <c r="AA18" s="72">
        <v>0.8</v>
      </c>
      <c r="AB18" s="78">
        <f t="shared" si="19"/>
        <v>1508</v>
      </c>
      <c r="AC18" s="78">
        <f t="shared" si="20"/>
        <v>1508</v>
      </c>
      <c r="AD18" s="78">
        <f t="shared" si="21"/>
        <v>1508</v>
      </c>
      <c r="AE18" s="128">
        <f t="shared" si="22"/>
        <v>4524</v>
      </c>
      <c r="AF18" s="103">
        <f t="shared" si="23"/>
        <v>3837.1040723981896</v>
      </c>
      <c r="AG18" s="103">
        <f t="shared" si="24"/>
        <v>3837</v>
      </c>
      <c r="AH18" s="103">
        <f t="shared" si="25"/>
        <v>1279</v>
      </c>
      <c r="AI18" s="103">
        <v>1919</v>
      </c>
      <c r="AJ18" s="79">
        <v>1919</v>
      </c>
      <c r="AK18" s="79">
        <f t="shared" si="26"/>
        <v>5117</v>
      </c>
      <c r="AL18" s="75">
        <f t="shared" si="27"/>
        <v>1492.8229665071772</v>
      </c>
      <c r="AM18" s="79">
        <f t="shared" si="28"/>
        <v>1493</v>
      </c>
      <c r="AN18" s="275">
        <f aca="true" t="shared" si="42" ref="AN18:AN29">D18*E18</f>
        <v>0.8</v>
      </c>
      <c r="AO18" s="103">
        <v>0.8</v>
      </c>
      <c r="AP18" s="103">
        <f t="shared" si="39"/>
        <v>0.8</v>
      </c>
      <c r="AQ18" s="103">
        <f t="shared" si="30"/>
        <v>1854.5439999999999</v>
      </c>
      <c r="AR18" s="103">
        <f t="shared" si="31"/>
        <v>2000</v>
      </c>
      <c r="AS18" s="103">
        <f t="shared" si="32"/>
        <v>2038</v>
      </c>
      <c r="AT18" s="103">
        <f t="shared" si="33"/>
        <v>6774</v>
      </c>
      <c r="AU18" s="284">
        <f t="shared" si="34"/>
        <v>1354.8</v>
      </c>
      <c r="AV18" s="278">
        <f t="shared" si="35"/>
        <v>1258</v>
      </c>
      <c r="AW18" s="278">
        <f t="shared" si="36"/>
        <v>1742</v>
      </c>
      <c r="AX18" s="158">
        <f t="shared" si="41"/>
        <v>1855</v>
      </c>
      <c r="AY18" s="158">
        <f t="shared" si="40"/>
        <v>1855</v>
      </c>
      <c r="AZ18" s="158">
        <f t="shared" si="40"/>
        <v>1855</v>
      </c>
      <c r="BA18" s="289"/>
      <c r="BB18" s="102">
        <v>2000</v>
      </c>
      <c r="BC18" s="158">
        <v>2000</v>
      </c>
      <c r="BD18" s="103">
        <v>2038</v>
      </c>
      <c r="BE18" s="289"/>
      <c r="BF18" s="188">
        <v>2038</v>
      </c>
      <c r="BG18" s="161">
        <v>1258</v>
      </c>
      <c r="BH18" s="161">
        <v>1258</v>
      </c>
      <c r="BI18" s="297"/>
      <c r="BJ18" s="42">
        <v>1742</v>
      </c>
      <c r="BK18" s="161">
        <v>1258</v>
      </c>
      <c r="BL18" s="230">
        <v>1258</v>
      </c>
      <c r="BM18" s="45">
        <f t="shared" si="37"/>
        <v>6774</v>
      </c>
      <c r="BN18" s="236">
        <f t="shared" si="38"/>
        <v>20415</v>
      </c>
      <c r="BO18" s="80"/>
      <c r="BP18" s="129" t="s">
        <v>67</v>
      </c>
      <c r="BQ18" s="81">
        <v>3</v>
      </c>
      <c r="BR18" s="193"/>
      <c r="BS18" s="193"/>
      <c r="BT18" s="193"/>
    </row>
    <row r="19" spans="1:72" s="55" customFormat="1" ht="21.75" customHeight="1">
      <c r="A19" s="68">
        <v>17</v>
      </c>
      <c r="B19" s="202" t="s">
        <v>9</v>
      </c>
      <c r="C19" s="38" t="s">
        <v>15</v>
      </c>
      <c r="D19" s="39">
        <v>1</v>
      </c>
      <c r="E19" s="39">
        <v>1</v>
      </c>
      <c r="F19" s="40">
        <f t="shared" si="14"/>
        <v>1</v>
      </c>
      <c r="G19" s="40">
        <f t="shared" si="15"/>
        <v>5656.108597285068</v>
      </c>
      <c r="H19" s="40">
        <f t="shared" si="16"/>
        <v>1885</v>
      </c>
      <c r="I19" s="41">
        <f t="shared" si="17"/>
        <v>1571</v>
      </c>
      <c r="J19" s="42">
        <f t="shared" si="0"/>
        <v>1571</v>
      </c>
      <c r="K19" s="42">
        <f t="shared" si="1"/>
        <v>1571</v>
      </c>
      <c r="L19" s="50">
        <f t="shared" si="2"/>
        <v>1571</v>
      </c>
      <c r="M19" s="42">
        <f t="shared" si="18"/>
        <v>1493.21</v>
      </c>
      <c r="N19" s="43">
        <f t="shared" si="3"/>
        <v>1493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105">
        <v>1</v>
      </c>
      <c r="AB19" s="44">
        <f t="shared" si="19"/>
        <v>1885</v>
      </c>
      <c r="AC19" s="44">
        <f t="shared" si="20"/>
        <v>1885</v>
      </c>
      <c r="AD19" s="44">
        <f t="shared" si="21"/>
        <v>1885</v>
      </c>
      <c r="AE19" s="28">
        <f t="shared" si="22"/>
        <v>5655</v>
      </c>
      <c r="AF19" s="102">
        <f t="shared" si="23"/>
        <v>4796.380090497737</v>
      </c>
      <c r="AG19" s="102">
        <f t="shared" si="24"/>
        <v>4796</v>
      </c>
      <c r="AH19" s="102">
        <f t="shared" si="25"/>
        <v>1599</v>
      </c>
      <c r="AI19" s="102">
        <v>1599</v>
      </c>
      <c r="AJ19" s="52">
        <v>1599</v>
      </c>
      <c r="AK19" s="45">
        <f t="shared" si="26"/>
        <v>4797</v>
      </c>
      <c r="AL19" s="43">
        <f t="shared" si="27"/>
        <v>1866.0287081339713</v>
      </c>
      <c r="AM19" s="45">
        <f t="shared" si="28"/>
        <v>1866</v>
      </c>
      <c r="AN19" s="275">
        <f t="shared" si="42"/>
        <v>1</v>
      </c>
      <c r="AO19" s="102">
        <v>1</v>
      </c>
      <c r="AP19" s="102">
        <f t="shared" si="39"/>
        <v>1</v>
      </c>
      <c r="AQ19" s="102">
        <f t="shared" si="30"/>
        <v>2318.18</v>
      </c>
      <c r="AR19" s="102">
        <f t="shared" si="31"/>
        <v>2500</v>
      </c>
      <c r="AS19" s="102">
        <f t="shared" si="32"/>
        <v>2547</v>
      </c>
      <c r="AT19" s="102">
        <f t="shared" si="33"/>
        <v>8468</v>
      </c>
      <c r="AU19" s="284">
        <f t="shared" si="34"/>
        <v>1693.6</v>
      </c>
      <c r="AV19" s="278">
        <f t="shared" si="35"/>
        <v>1573</v>
      </c>
      <c r="AW19" s="278">
        <f t="shared" si="36"/>
        <v>2177</v>
      </c>
      <c r="AX19" s="158">
        <f t="shared" si="41"/>
        <v>2318</v>
      </c>
      <c r="AY19" s="158">
        <f t="shared" si="40"/>
        <v>2318</v>
      </c>
      <c r="AZ19" s="158">
        <f t="shared" si="40"/>
        <v>2318</v>
      </c>
      <c r="BA19" s="289"/>
      <c r="BB19" s="102">
        <v>2500</v>
      </c>
      <c r="BC19" s="158">
        <v>2500</v>
      </c>
      <c r="BD19" s="102">
        <v>2547</v>
      </c>
      <c r="BE19" s="289"/>
      <c r="BF19" s="188">
        <v>2547</v>
      </c>
      <c r="BG19" s="158">
        <v>1573</v>
      </c>
      <c r="BH19" s="158">
        <v>1573</v>
      </c>
      <c r="BI19" s="297"/>
      <c r="BJ19" s="42">
        <v>2177</v>
      </c>
      <c r="BK19" s="158">
        <v>1573</v>
      </c>
      <c r="BL19" s="227">
        <v>1573</v>
      </c>
      <c r="BM19" s="45">
        <f t="shared" si="37"/>
        <v>8469</v>
      </c>
      <c r="BN19" s="236">
        <f t="shared" si="38"/>
        <v>25517</v>
      </c>
      <c r="BO19" s="53" t="s">
        <v>19</v>
      </c>
      <c r="BP19" s="53"/>
      <c r="BQ19" s="54">
        <v>3</v>
      </c>
      <c r="BR19" s="193"/>
      <c r="BS19" s="193"/>
      <c r="BT19" s="193"/>
    </row>
    <row r="20" spans="1:72" s="141" customFormat="1" ht="20.25" customHeight="1">
      <c r="A20" s="68">
        <v>18</v>
      </c>
      <c r="B20" s="203" t="s">
        <v>80</v>
      </c>
      <c r="C20" s="83" t="s">
        <v>16</v>
      </c>
      <c r="D20" s="71">
        <v>0.8</v>
      </c>
      <c r="E20" s="71">
        <v>1</v>
      </c>
      <c r="F20" s="142"/>
      <c r="G20" s="130"/>
      <c r="H20" s="130"/>
      <c r="I20" s="131"/>
      <c r="J20" s="132"/>
      <c r="K20" s="132"/>
      <c r="L20" s="133"/>
      <c r="M20" s="132"/>
      <c r="N20" s="134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0"/>
      <c r="AB20" s="136"/>
      <c r="AC20" s="136"/>
      <c r="AD20" s="136"/>
      <c r="AE20" s="137"/>
      <c r="AF20" s="138"/>
      <c r="AG20" s="138"/>
      <c r="AH20" s="138"/>
      <c r="AI20" s="138"/>
      <c r="AJ20" s="139"/>
      <c r="AK20" s="143">
        <f t="shared" si="26"/>
        <v>0</v>
      </c>
      <c r="AL20" s="134"/>
      <c r="AM20" s="140"/>
      <c r="AN20" s="275">
        <f t="shared" si="42"/>
        <v>0.8</v>
      </c>
      <c r="AO20" s="103">
        <v>0.8</v>
      </c>
      <c r="AP20" s="103">
        <f t="shared" si="39"/>
        <v>0.8</v>
      </c>
      <c r="AQ20" s="103">
        <f t="shared" si="30"/>
        <v>1854.5439999999999</v>
      </c>
      <c r="AR20" s="103">
        <f t="shared" si="31"/>
        <v>2000</v>
      </c>
      <c r="AS20" s="103">
        <f t="shared" si="32"/>
        <v>2038</v>
      </c>
      <c r="AT20" s="103">
        <f t="shared" si="33"/>
        <v>6774</v>
      </c>
      <c r="AU20" s="284">
        <f t="shared" si="34"/>
        <v>1354.8</v>
      </c>
      <c r="AV20" s="278">
        <f t="shared" si="35"/>
        <v>1258</v>
      </c>
      <c r="AW20" s="278">
        <f t="shared" si="36"/>
        <v>1742</v>
      </c>
      <c r="AX20" s="158">
        <f t="shared" si="41"/>
        <v>1855</v>
      </c>
      <c r="AY20" s="158">
        <f t="shared" si="40"/>
        <v>1855</v>
      </c>
      <c r="AZ20" s="158">
        <f t="shared" si="40"/>
        <v>1855</v>
      </c>
      <c r="BA20" s="290"/>
      <c r="BB20" s="102">
        <v>2000</v>
      </c>
      <c r="BC20" s="158">
        <v>2000</v>
      </c>
      <c r="BD20" s="103">
        <v>2038</v>
      </c>
      <c r="BE20" s="289"/>
      <c r="BF20" s="188">
        <v>2038</v>
      </c>
      <c r="BG20" s="161">
        <v>1258</v>
      </c>
      <c r="BH20" s="161">
        <v>1258</v>
      </c>
      <c r="BI20" s="297"/>
      <c r="BJ20" s="42">
        <v>1742</v>
      </c>
      <c r="BK20" s="161">
        <v>1258</v>
      </c>
      <c r="BL20" s="232">
        <v>1258</v>
      </c>
      <c r="BM20" s="45">
        <f t="shared" si="37"/>
        <v>6774</v>
      </c>
      <c r="BN20" s="236">
        <f t="shared" si="38"/>
        <v>20415</v>
      </c>
      <c r="BO20" s="80" t="s">
        <v>19</v>
      </c>
      <c r="BP20" s="80"/>
      <c r="BQ20" s="81">
        <v>3</v>
      </c>
      <c r="BR20" s="4"/>
      <c r="BS20" s="4"/>
      <c r="BT20" s="4"/>
    </row>
    <row r="21" spans="1:72" s="141" customFormat="1" ht="21" customHeight="1">
      <c r="A21" s="68">
        <v>19</v>
      </c>
      <c r="B21" s="203" t="s">
        <v>68</v>
      </c>
      <c r="C21" s="83" t="s">
        <v>16</v>
      </c>
      <c r="D21" s="71">
        <v>0.8</v>
      </c>
      <c r="E21" s="71">
        <v>1</v>
      </c>
      <c r="F21" s="142"/>
      <c r="G21" s="130"/>
      <c r="H21" s="130"/>
      <c r="I21" s="131"/>
      <c r="J21" s="132"/>
      <c r="K21" s="132"/>
      <c r="L21" s="133"/>
      <c r="M21" s="132"/>
      <c r="N21" s="134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0"/>
      <c r="AB21" s="136"/>
      <c r="AC21" s="136"/>
      <c r="AD21" s="136"/>
      <c r="AE21" s="137"/>
      <c r="AF21" s="138"/>
      <c r="AG21" s="138"/>
      <c r="AH21" s="138"/>
      <c r="AI21" s="138"/>
      <c r="AJ21" s="139"/>
      <c r="AK21" s="143">
        <f>AH21+AI21+AJ21</f>
        <v>0</v>
      </c>
      <c r="AL21" s="134"/>
      <c r="AM21" s="140"/>
      <c r="AN21" s="275">
        <f t="shared" si="42"/>
        <v>0.8</v>
      </c>
      <c r="AO21" s="103">
        <v>0.8</v>
      </c>
      <c r="AP21" s="103">
        <f t="shared" si="39"/>
        <v>0.8</v>
      </c>
      <c r="AQ21" s="103">
        <f t="shared" si="30"/>
        <v>1854.5439999999999</v>
      </c>
      <c r="AR21" s="103">
        <f t="shared" si="31"/>
        <v>2000</v>
      </c>
      <c r="AS21" s="103">
        <f t="shared" si="32"/>
        <v>2038</v>
      </c>
      <c r="AT21" s="103">
        <f t="shared" si="33"/>
        <v>6774</v>
      </c>
      <c r="AU21" s="284">
        <f t="shared" si="34"/>
        <v>1354.8</v>
      </c>
      <c r="AV21" s="278">
        <f t="shared" si="35"/>
        <v>1258</v>
      </c>
      <c r="AW21" s="278">
        <f t="shared" si="36"/>
        <v>1742</v>
      </c>
      <c r="AX21" s="158">
        <f t="shared" si="41"/>
        <v>1855</v>
      </c>
      <c r="AY21" s="158">
        <f t="shared" si="40"/>
        <v>1855</v>
      </c>
      <c r="AZ21" s="158">
        <f t="shared" si="40"/>
        <v>1855</v>
      </c>
      <c r="BA21" s="290"/>
      <c r="BB21" s="102">
        <v>2000</v>
      </c>
      <c r="BC21" s="158">
        <v>2000</v>
      </c>
      <c r="BD21" s="103">
        <v>2038</v>
      </c>
      <c r="BE21" s="289"/>
      <c r="BF21" s="188">
        <v>2038</v>
      </c>
      <c r="BG21" s="161">
        <v>1258</v>
      </c>
      <c r="BH21" s="161">
        <v>1258</v>
      </c>
      <c r="BI21" s="297"/>
      <c r="BJ21" s="42">
        <v>1742</v>
      </c>
      <c r="BK21" s="161">
        <v>1258</v>
      </c>
      <c r="BL21" s="232">
        <v>1258</v>
      </c>
      <c r="BM21" s="45">
        <f t="shared" si="37"/>
        <v>6774</v>
      </c>
      <c r="BN21" s="236">
        <f t="shared" si="38"/>
        <v>20415</v>
      </c>
      <c r="BO21" s="80" t="s">
        <v>19</v>
      </c>
      <c r="BP21" s="80"/>
      <c r="BQ21" s="81">
        <v>3</v>
      </c>
      <c r="BR21" s="4"/>
      <c r="BS21" s="4"/>
      <c r="BT21" s="4"/>
    </row>
    <row r="22" spans="1:72" s="141" customFormat="1" ht="18.75" customHeight="1">
      <c r="A22" s="68">
        <v>20</v>
      </c>
      <c r="B22" s="211" t="s">
        <v>77</v>
      </c>
      <c r="C22" s="69" t="s">
        <v>16</v>
      </c>
      <c r="D22" s="70">
        <v>0.8</v>
      </c>
      <c r="E22" s="70">
        <v>1</v>
      </c>
      <c r="F22" s="212"/>
      <c r="G22" s="212"/>
      <c r="H22" s="212"/>
      <c r="I22" s="213"/>
      <c r="J22" s="214"/>
      <c r="K22" s="214"/>
      <c r="L22" s="215"/>
      <c r="M22" s="214"/>
      <c r="N22" s="216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2"/>
      <c r="AB22" s="218"/>
      <c r="AC22" s="218"/>
      <c r="AD22" s="218"/>
      <c r="AE22" s="219"/>
      <c r="AF22" s="220"/>
      <c r="AG22" s="220"/>
      <c r="AH22" s="220"/>
      <c r="AI22" s="220"/>
      <c r="AJ22" s="221"/>
      <c r="AK22" s="222"/>
      <c r="AL22" s="216"/>
      <c r="AM22" s="222"/>
      <c r="AN22" s="275">
        <f t="shared" si="42"/>
        <v>0.8</v>
      </c>
      <c r="AO22" s="103">
        <v>0.8</v>
      </c>
      <c r="AP22" s="103">
        <f t="shared" si="39"/>
        <v>0.8</v>
      </c>
      <c r="AQ22" s="103">
        <f t="shared" si="30"/>
        <v>1854.5439999999999</v>
      </c>
      <c r="AR22" s="103">
        <f t="shared" si="31"/>
        <v>2000</v>
      </c>
      <c r="AS22" s="103">
        <f t="shared" si="32"/>
        <v>2038</v>
      </c>
      <c r="AT22" s="103">
        <f t="shared" si="33"/>
        <v>6774</v>
      </c>
      <c r="AU22" s="284">
        <f t="shared" si="34"/>
        <v>1354.8</v>
      </c>
      <c r="AV22" s="278">
        <f t="shared" si="35"/>
        <v>1258</v>
      </c>
      <c r="AW22" s="278">
        <f t="shared" si="36"/>
        <v>1742</v>
      </c>
      <c r="AX22" s="158">
        <f t="shared" si="41"/>
        <v>1855</v>
      </c>
      <c r="AY22" s="158">
        <f t="shared" si="40"/>
        <v>1855</v>
      </c>
      <c r="AZ22" s="158">
        <f t="shared" si="40"/>
        <v>1855</v>
      </c>
      <c r="BA22" s="291"/>
      <c r="BB22" s="102">
        <v>2000</v>
      </c>
      <c r="BC22" s="158">
        <v>2000</v>
      </c>
      <c r="BD22" s="244">
        <v>2038</v>
      </c>
      <c r="BE22" s="289"/>
      <c r="BF22" s="188">
        <v>2038</v>
      </c>
      <c r="BG22" s="223">
        <v>1258</v>
      </c>
      <c r="BH22" s="223">
        <v>1258</v>
      </c>
      <c r="BI22" s="297"/>
      <c r="BJ22" s="42">
        <v>1742</v>
      </c>
      <c r="BK22" s="223">
        <v>1258</v>
      </c>
      <c r="BL22" s="233">
        <v>1258</v>
      </c>
      <c r="BM22" s="45">
        <f t="shared" si="37"/>
        <v>6774</v>
      </c>
      <c r="BN22" s="236">
        <f t="shared" si="38"/>
        <v>20415</v>
      </c>
      <c r="BO22" s="80" t="s">
        <v>19</v>
      </c>
      <c r="BP22" s="80"/>
      <c r="BQ22" s="81">
        <v>3</v>
      </c>
      <c r="BR22" s="4"/>
      <c r="BS22" s="4"/>
      <c r="BT22" s="4"/>
    </row>
    <row r="23" spans="1:72" s="141" customFormat="1" ht="18.75" customHeight="1">
      <c r="A23" s="68">
        <v>21</v>
      </c>
      <c r="B23" s="203" t="s">
        <v>81</v>
      </c>
      <c r="C23" s="83" t="s">
        <v>16</v>
      </c>
      <c r="D23" s="71">
        <v>0.8</v>
      </c>
      <c r="E23" s="71">
        <v>1</v>
      </c>
      <c r="F23" s="144"/>
      <c r="G23" s="144"/>
      <c r="H23" s="144"/>
      <c r="I23" s="145"/>
      <c r="J23" s="146"/>
      <c r="K23" s="146"/>
      <c r="L23" s="147"/>
      <c r="M23" s="146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4"/>
      <c r="AB23" s="150"/>
      <c r="AC23" s="150"/>
      <c r="AD23" s="150"/>
      <c r="AE23" s="151"/>
      <c r="AF23" s="152"/>
      <c r="AG23" s="152"/>
      <c r="AH23" s="152"/>
      <c r="AI23" s="152"/>
      <c r="AJ23" s="153"/>
      <c r="AK23" s="154"/>
      <c r="AL23" s="148"/>
      <c r="AM23" s="154"/>
      <c r="AN23" s="275">
        <f t="shared" si="42"/>
        <v>0.8</v>
      </c>
      <c r="AO23" s="103">
        <v>0.8</v>
      </c>
      <c r="AP23" s="103">
        <f t="shared" si="39"/>
        <v>0.8</v>
      </c>
      <c r="AQ23" s="103">
        <f t="shared" si="30"/>
        <v>1854.5439999999999</v>
      </c>
      <c r="AR23" s="103">
        <f t="shared" si="31"/>
        <v>2000</v>
      </c>
      <c r="AS23" s="103">
        <f t="shared" si="32"/>
        <v>2038</v>
      </c>
      <c r="AT23" s="103">
        <f t="shared" si="33"/>
        <v>6774</v>
      </c>
      <c r="AU23" s="284">
        <f t="shared" si="34"/>
        <v>1354.8</v>
      </c>
      <c r="AV23" s="278">
        <f t="shared" si="35"/>
        <v>1258</v>
      </c>
      <c r="AW23" s="278">
        <f t="shared" si="36"/>
        <v>1742</v>
      </c>
      <c r="AX23" s="158">
        <f t="shared" si="41"/>
        <v>1855</v>
      </c>
      <c r="AY23" s="158">
        <f t="shared" si="40"/>
        <v>1855</v>
      </c>
      <c r="AZ23" s="158">
        <f t="shared" si="40"/>
        <v>1855</v>
      </c>
      <c r="BA23" s="290"/>
      <c r="BB23" s="102">
        <v>2000</v>
      </c>
      <c r="BC23" s="158">
        <v>2000</v>
      </c>
      <c r="BD23" s="152">
        <v>2038</v>
      </c>
      <c r="BE23" s="289"/>
      <c r="BF23" s="188">
        <v>2038</v>
      </c>
      <c r="BG23" s="224">
        <v>1258</v>
      </c>
      <c r="BH23" s="224">
        <v>1258</v>
      </c>
      <c r="BI23" s="297"/>
      <c r="BJ23" s="42">
        <v>1742</v>
      </c>
      <c r="BK23" s="224">
        <v>1258</v>
      </c>
      <c r="BL23" s="232">
        <v>1258</v>
      </c>
      <c r="BM23" s="45">
        <f t="shared" si="37"/>
        <v>6774</v>
      </c>
      <c r="BN23" s="236">
        <f t="shared" si="38"/>
        <v>20415</v>
      </c>
      <c r="BO23" s="80" t="s">
        <v>19</v>
      </c>
      <c r="BP23" s="80"/>
      <c r="BQ23" s="81">
        <v>3</v>
      </c>
      <c r="BR23" s="4"/>
      <c r="BS23" s="4"/>
      <c r="BT23" s="4"/>
    </row>
    <row r="24" spans="1:72" s="141" customFormat="1" ht="14.25" customHeight="1">
      <c r="A24" s="68">
        <v>22</v>
      </c>
      <c r="B24" s="203" t="s">
        <v>82</v>
      </c>
      <c r="C24" s="83" t="s">
        <v>16</v>
      </c>
      <c r="D24" s="71">
        <v>0.8</v>
      </c>
      <c r="E24" s="71">
        <v>1</v>
      </c>
      <c r="F24" s="144"/>
      <c r="G24" s="144"/>
      <c r="H24" s="144"/>
      <c r="I24" s="145"/>
      <c r="J24" s="146"/>
      <c r="K24" s="146"/>
      <c r="L24" s="147"/>
      <c r="M24" s="146"/>
      <c r="N24" s="148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4"/>
      <c r="AB24" s="150"/>
      <c r="AC24" s="150"/>
      <c r="AD24" s="150"/>
      <c r="AE24" s="151"/>
      <c r="AF24" s="152"/>
      <c r="AG24" s="152"/>
      <c r="AH24" s="152"/>
      <c r="AI24" s="152"/>
      <c r="AJ24" s="153"/>
      <c r="AK24" s="154"/>
      <c r="AL24" s="148"/>
      <c r="AM24" s="154"/>
      <c r="AN24" s="275">
        <f t="shared" si="42"/>
        <v>0.8</v>
      </c>
      <c r="AO24" s="303">
        <v>0</v>
      </c>
      <c r="AP24" s="103">
        <v>0</v>
      </c>
      <c r="AQ24" s="102">
        <f t="shared" si="30"/>
        <v>1854.5439999999999</v>
      </c>
      <c r="AR24" s="102">
        <f t="shared" si="31"/>
        <v>0</v>
      </c>
      <c r="AS24" s="102">
        <f t="shared" si="32"/>
        <v>0</v>
      </c>
      <c r="AT24" s="117">
        <f t="shared" si="33"/>
        <v>0</v>
      </c>
      <c r="AU24" s="284">
        <f t="shared" si="34"/>
        <v>0</v>
      </c>
      <c r="AV24" s="278">
        <f t="shared" si="35"/>
        <v>0</v>
      </c>
      <c r="AW24" s="278">
        <f t="shared" si="36"/>
        <v>0</v>
      </c>
      <c r="AX24" s="158">
        <f t="shared" si="41"/>
        <v>1855</v>
      </c>
      <c r="AY24" s="158">
        <f t="shared" si="40"/>
        <v>1855</v>
      </c>
      <c r="AZ24" s="158">
        <f t="shared" si="40"/>
        <v>1855</v>
      </c>
      <c r="BA24" s="290"/>
      <c r="BB24" s="102">
        <v>0</v>
      </c>
      <c r="BC24" s="158">
        <v>0</v>
      </c>
      <c r="BD24" s="152">
        <v>0</v>
      </c>
      <c r="BE24" s="289"/>
      <c r="BF24" s="188">
        <v>0</v>
      </c>
      <c r="BG24" s="224">
        <v>0</v>
      </c>
      <c r="BH24" s="224">
        <v>0</v>
      </c>
      <c r="BI24" s="297"/>
      <c r="BJ24" s="42">
        <v>0</v>
      </c>
      <c r="BK24" s="224">
        <v>0</v>
      </c>
      <c r="BL24" s="232">
        <v>0</v>
      </c>
      <c r="BM24" s="45">
        <f t="shared" si="37"/>
        <v>0</v>
      </c>
      <c r="BN24" s="236">
        <f t="shared" si="38"/>
        <v>5565</v>
      </c>
      <c r="BO24" s="80" t="s">
        <v>19</v>
      </c>
      <c r="BP24" s="80"/>
      <c r="BQ24" s="81">
        <v>3</v>
      </c>
      <c r="BR24" s="4"/>
      <c r="BS24" s="4"/>
      <c r="BT24" s="4"/>
    </row>
    <row r="25" spans="1:72" s="141" customFormat="1" ht="24" customHeight="1">
      <c r="A25" s="68">
        <v>23</v>
      </c>
      <c r="B25" s="225" t="s">
        <v>83</v>
      </c>
      <c r="C25" s="83" t="s">
        <v>16</v>
      </c>
      <c r="D25" s="71">
        <v>0.8</v>
      </c>
      <c r="E25" s="71">
        <v>1</v>
      </c>
      <c r="F25" s="144"/>
      <c r="G25" s="144"/>
      <c r="H25" s="144"/>
      <c r="I25" s="145"/>
      <c r="J25" s="146"/>
      <c r="K25" s="146"/>
      <c r="L25" s="147"/>
      <c r="M25" s="146"/>
      <c r="N25" s="148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4"/>
      <c r="AB25" s="150"/>
      <c r="AC25" s="150"/>
      <c r="AD25" s="150"/>
      <c r="AE25" s="151"/>
      <c r="AF25" s="152"/>
      <c r="AG25" s="152"/>
      <c r="AH25" s="152"/>
      <c r="AI25" s="152"/>
      <c r="AJ25" s="153"/>
      <c r="AK25" s="154"/>
      <c r="AL25" s="148"/>
      <c r="AM25" s="154"/>
      <c r="AN25" s="275">
        <f t="shared" si="42"/>
        <v>0.8</v>
      </c>
      <c r="AO25" s="103">
        <v>0.8</v>
      </c>
      <c r="AP25" s="103">
        <f t="shared" si="39"/>
        <v>0.8</v>
      </c>
      <c r="AQ25" s="103">
        <f t="shared" si="30"/>
        <v>1854.5439999999999</v>
      </c>
      <c r="AR25" s="103">
        <f t="shared" si="31"/>
        <v>2000</v>
      </c>
      <c r="AS25" s="103">
        <f t="shared" si="32"/>
        <v>2038</v>
      </c>
      <c r="AT25" s="103">
        <f t="shared" si="33"/>
        <v>6774</v>
      </c>
      <c r="AU25" s="284">
        <f t="shared" si="34"/>
        <v>1354.8</v>
      </c>
      <c r="AV25" s="278">
        <f t="shared" si="35"/>
        <v>1258</v>
      </c>
      <c r="AW25" s="278">
        <f t="shared" si="36"/>
        <v>1742</v>
      </c>
      <c r="AX25" s="158">
        <f t="shared" si="41"/>
        <v>1855</v>
      </c>
      <c r="AY25" s="158">
        <f t="shared" si="40"/>
        <v>1855</v>
      </c>
      <c r="AZ25" s="158">
        <f t="shared" si="40"/>
        <v>1855</v>
      </c>
      <c r="BA25" s="290"/>
      <c r="BB25" s="102">
        <v>2000</v>
      </c>
      <c r="BC25" s="158">
        <v>2000</v>
      </c>
      <c r="BD25" s="152">
        <v>2038</v>
      </c>
      <c r="BE25" s="289"/>
      <c r="BF25" s="188">
        <v>2038</v>
      </c>
      <c r="BG25" s="224">
        <v>1258</v>
      </c>
      <c r="BH25" s="224">
        <v>1258</v>
      </c>
      <c r="BI25" s="297"/>
      <c r="BJ25" s="42">
        <v>1742</v>
      </c>
      <c r="BK25" s="224">
        <v>1258</v>
      </c>
      <c r="BL25" s="232">
        <v>1258</v>
      </c>
      <c r="BM25" s="45">
        <f t="shared" si="37"/>
        <v>6774</v>
      </c>
      <c r="BN25" s="236">
        <f t="shared" si="38"/>
        <v>20415</v>
      </c>
      <c r="BO25" s="80" t="s">
        <v>19</v>
      </c>
      <c r="BP25" s="80"/>
      <c r="BQ25" s="81">
        <v>3</v>
      </c>
      <c r="BR25" s="4"/>
      <c r="BS25" s="4"/>
      <c r="BT25" s="4"/>
    </row>
    <row r="26" spans="1:72" s="141" customFormat="1" ht="15" customHeight="1">
      <c r="A26" s="68">
        <v>24</v>
      </c>
      <c r="B26" s="225" t="s">
        <v>97</v>
      </c>
      <c r="C26" s="83" t="s">
        <v>16</v>
      </c>
      <c r="D26" s="71">
        <v>0.8</v>
      </c>
      <c r="E26" s="71">
        <v>1</v>
      </c>
      <c r="F26" s="144"/>
      <c r="G26" s="144"/>
      <c r="H26" s="144"/>
      <c r="I26" s="145"/>
      <c r="J26" s="146"/>
      <c r="K26" s="146"/>
      <c r="L26" s="147"/>
      <c r="M26" s="146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4"/>
      <c r="AB26" s="150"/>
      <c r="AC26" s="150"/>
      <c r="AD26" s="150"/>
      <c r="AE26" s="151"/>
      <c r="AF26" s="152"/>
      <c r="AG26" s="152"/>
      <c r="AH26" s="152"/>
      <c r="AI26" s="152"/>
      <c r="AJ26" s="153"/>
      <c r="AK26" s="154"/>
      <c r="AL26" s="148"/>
      <c r="AM26" s="154"/>
      <c r="AN26" s="275">
        <f t="shared" si="42"/>
        <v>0.8</v>
      </c>
      <c r="AO26" s="303">
        <v>0</v>
      </c>
      <c r="AP26" s="103">
        <f t="shared" si="39"/>
        <v>0.8</v>
      </c>
      <c r="AQ26" s="103">
        <f t="shared" si="30"/>
        <v>1854.5439999999999</v>
      </c>
      <c r="AR26" s="103">
        <f t="shared" si="31"/>
        <v>0</v>
      </c>
      <c r="AS26" s="103">
        <f t="shared" si="32"/>
        <v>0</v>
      </c>
      <c r="AT26" s="103">
        <f t="shared" si="33"/>
        <v>6774</v>
      </c>
      <c r="AU26" s="284">
        <f t="shared" si="34"/>
        <v>1354.8</v>
      </c>
      <c r="AV26" s="278">
        <f t="shared" si="35"/>
        <v>1258</v>
      </c>
      <c r="AW26" s="278">
        <f t="shared" si="36"/>
        <v>1742</v>
      </c>
      <c r="AX26" s="158"/>
      <c r="AY26" s="158"/>
      <c r="AZ26" s="158"/>
      <c r="BA26" s="290"/>
      <c r="BB26" s="102">
        <v>0</v>
      </c>
      <c r="BC26" s="158">
        <v>0</v>
      </c>
      <c r="BD26" s="152">
        <v>0</v>
      </c>
      <c r="BE26" s="289"/>
      <c r="BF26" s="188">
        <v>0</v>
      </c>
      <c r="BG26" s="224">
        <v>1258</v>
      </c>
      <c r="BH26" s="224">
        <v>1258</v>
      </c>
      <c r="BI26" s="297"/>
      <c r="BJ26" s="42">
        <v>1742</v>
      </c>
      <c r="BK26" s="224">
        <v>1258</v>
      </c>
      <c r="BL26" s="232">
        <v>1258</v>
      </c>
      <c r="BM26" s="45">
        <f t="shared" si="37"/>
        <v>6774</v>
      </c>
      <c r="BN26" s="236">
        <f t="shared" si="38"/>
        <v>6774</v>
      </c>
      <c r="BO26" s="80" t="s">
        <v>19</v>
      </c>
      <c r="BP26" s="80"/>
      <c r="BQ26" s="81">
        <v>3</v>
      </c>
      <c r="BR26" s="4"/>
      <c r="BS26" s="4"/>
      <c r="BT26" s="4"/>
    </row>
    <row r="27" spans="1:72" s="141" customFormat="1" ht="13.5" customHeight="1">
      <c r="A27" s="250">
        <v>25</v>
      </c>
      <c r="B27" s="225" t="s">
        <v>99</v>
      </c>
      <c r="C27" s="83" t="s">
        <v>16</v>
      </c>
      <c r="D27" s="71">
        <v>0.8</v>
      </c>
      <c r="E27" s="71">
        <v>1</v>
      </c>
      <c r="F27" s="144"/>
      <c r="G27" s="144"/>
      <c r="H27" s="144"/>
      <c r="I27" s="145"/>
      <c r="J27" s="146"/>
      <c r="K27" s="146"/>
      <c r="L27" s="147"/>
      <c r="M27" s="146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4"/>
      <c r="AB27" s="150"/>
      <c r="AC27" s="150"/>
      <c r="AD27" s="150"/>
      <c r="AE27" s="151"/>
      <c r="AF27" s="152"/>
      <c r="AG27" s="152"/>
      <c r="AH27" s="152"/>
      <c r="AI27" s="152"/>
      <c r="AJ27" s="153"/>
      <c r="AK27" s="154"/>
      <c r="AL27" s="148"/>
      <c r="AM27" s="154"/>
      <c r="AN27" s="275">
        <f t="shared" si="42"/>
        <v>0.8</v>
      </c>
      <c r="AO27" s="304"/>
      <c r="AP27" s="103">
        <f t="shared" si="39"/>
        <v>0.8</v>
      </c>
      <c r="AQ27" s="152"/>
      <c r="AR27" s="152"/>
      <c r="AS27" s="152"/>
      <c r="AT27" s="103">
        <f t="shared" si="33"/>
        <v>6774</v>
      </c>
      <c r="AU27" s="284">
        <f t="shared" si="34"/>
        <v>1354.8</v>
      </c>
      <c r="AV27" s="278">
        <f t="shared" si="35"/>
        <v>1258</v>
      </c>
      <c r="AW27" s="278">
        <f t="shared" si="36"/>
        <v>1742</v>
      </c>
      <c r="AX27" s="252"/>
      <c r="AY27" s="252"/>
      <c r="AZ27" s="252"/>
      <c r="BA27" s="290"/>
      <c r="BB27" s="251"/>
      <c r="BC27" s="252"/>
      <c r="BD27" s="152"/>
      <c r="BE27" s="290"/>
      <c r="BF27" s="253"/>
      <c r="BG27" s="224">
        <v>1258</v>
      </c>
      <c r="BH27" s="224">
        <v>1258</v>
      </c>
      <c r="BI27" s="298"/>
      <c r="BJ27" s="254">
        <v>1742</v>
      </c>
      <c r="BK27" s="224">
        <v>1258</v>
      </c>
      <c r="BL27" s="232">
        <v>1258</v>
      </c>
      <c r="BM27" s="45">
        <f t="shared" si="37"/>
        <v>6774</v>
      </c>
      <c r="BN27" s="236">
        <f t="shared" si="38"/>
        <v>6774</v>
      </c>
      <c r="BO27" s="80" t="s">
        <v>19</v>
      </c>
      <c r="BP27" s="80"/>
      <c r="BQ27" s="81">
        <v>3</v>
      </c>
      <c r="BR27" s="4"/>
      <c r="BS27" s="4"/>
      <c r="BT27" s="4"/>
    </row>
    <row r="28" spans="1:72" s="141" customFormat="1" ht="13.5" customHeight="1">
      <c r="A28" s="250">
        <v>26</v>
      </c>
      <c r="B28" s="225" t="s">
        <v>100</v>
      </c>
      <c r="C28" s="83" t="s">
        <v>16</v>
      </c>
      <c r="D28" s="71">
        <v>0.8</v>
      </c>
      <c r="E28" s="71">
        <v>1</v>
      </c>
      <c r="F28" s="144"/>
      <c r="G28" s="144"/>
      <c r="H28" s="144"/>
      <c r="I28" s="145"/>
      <c r="J28" s="146"/>
      <c r="K28" s="146"/>
      <c r="L28" s="147"/>
      <c r="M28" s="146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4"/>
      <c r="AB28" s="150"/>
      <c r="AC28" s="150"/>
      <c r="AD28" s="150"/>
      <c r="AE28" s="151"/>
      <c r="AF28" s="152"/>
      <c r="AG28" s="152"/>
      <c r="AH28" s="152"/>
      <c r="AI28" s="152"/>
      <c r="AJ28" s="153"/>
      <c r="AK28" s="154"/>
      <c r="AL28" s="148"/>
      <c r="AM28" s="154"/>
      <c r="AN28" s="275">
        <f t="shared" si="42"/>
        <v>0.8</v>
      </c>
      <c r="AO28" s="304"/>
      <c r="AP28" s="103">
        <f t="shared" si="39"/>
        <v>0.8</v>
      </c>
      <c r="AQ28" s="152"/>
      <c r="AR28" s="152"/>
      <c r="AS28" s="152"/>
      <c r="AT28" s="103">
        <f t="shared" si="33"/>
        <v>6774</v>
      </c>
      <c r="AU28" s="284">
        <f t="shared" si="34"/>
        <v>1354.8</v>
      </c>
      <c r="AV28" s="278">
        <f>ROUND(1572.58*AP28,0)</f>
        <v>1258</v>
      </c>
      <c r="AW28" s="278">
        <f t="shared" si="36"/>
        <v>1742</v>
      </c>
      <c r="AX28" s="252"/>
      <c r="AY28" s="252"/>
      <c r="AZ28" s="252"/>
      <c r="BA28" s="290"/>
      <c r="BB28" s="251"/>
      <c r="BC28" s="252"/>
      <c r="BD28" s="152"/>
      <c r="BE28" s="290"/>
      <c r="BF28" s="253"/>
      <c r="BG28" s="224">
        <v>1258</v>
      </c>
      <c r="BH28" s="224">
        <v>1258</v>
      </c>
      <c r="BI28" s="298"/>
      <c r="BJ28" s="254">
        <v>1742</v>
      </c>
      <c r="BK28" s="224">
        <v>1258</v>
      </c>
      <c r="BL28" s="232">
        <v>1258</v>
      </c>
      <c r="BM28" s="45">
        <f t="shared" si="37"/>
        <v>6774</v>
      </c>
      <c r="BN28" s="236">
        <f t="shared" si="38"/>
        <v>6774</v>
      </c>
      <c r="BO28" s="80" t="s">
        <v>19</v>
      </c>
      <c r="BP28" s="80"/>
      <c r="BQ28" s="81">
        <v>3</v>
      </c>
      <c r="BR28" s="4"/>
      <c r="BS28" s="4"/>
      <c r="BT28" s="4"/>
    </row>
    <row r="29" spans="1:72" s="141" customFormat="1" ht="13.5" customHeight="1">
      <c r="A29" s="255">
        <v>27</v>
      </c>
      <c r="B29" s="256" t="s">
        <v>101</v>
      </c>
      <c r="C29" s="57" t="s">
        <v>16</v>
      </c>
      <c r="D29" s="58">
        <v>0.8</v>
      </c>
      <c r="E29" s="58">
        <v>1.5</v>
      </c>
      <c r="F29" s="257"/>
      <c r="G29" s="257"/>
      <c r="H29" s="257"/>
      <c r="I29" s="258"/>
      <c r="J29" s="259"/>
      <c r="K29" s="259"/>
      <c r="L29" s="260"/>
      <c r="M29" s="259"/>
      <c r="N29" s="261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57"/>
      <c r="AB29" s="263"/>
      <c r="AC29" s="263"/>
      <c r="AD29" s="263"/>
      <c r="AE29" s="264"/>
      <c r="AF29" s="265"/>
      <c r="AG29" s="265"/>
      <c r="AH29" s="265"/>
      <c r="AI29" s="265"/>
      <c r="AJ29" s="266"/>
      <c r="AK29" s="267"/>
      <c r="AL29" s="261"/>
      <c r="AM29" s="267"/>
      <c r="AN29" s="104">
        <f t="shared" si="42"/>
        <v>1.2000000000000002</v>
      </c>
      <c r="AO29" s="305"/>
      <c r="AP29" s="104">
        <f t="shared" si="39"/>
        <v>1.2000000000000002</v>
      </c>
      <c r="AQ29" s="265"/>
      <c r="AR29" s="265"/>
      <c r="AS29" s="265"/>
      <c r="AT29" s="104">
        <f t="shared" si="33"/>
        <v>10161</v>
      </c>
      <c r="AU29" s="284">
        <f t="shared" si="34"/>
        <v>2032.2</v>
      </c>
      <c r="AV29" s="278">
        <f>ROUND(1572.58*AP29,0)</f>
        <v>1887</v>
      </c>
      <c r="AW29" s="278">
        <f t="shared" si="36"/>
        <v>2613</v>
      </c>
      <c r="AX29" s="268"/>
      <c r="AY29" s="268"/>
      <c r="AZ29" s="268"/>
      <c r="BA29" s="292"/>
      <c r="BB29" s="265"/>
      <c r="BC29" s="268"/>
      <c r="BD29" s="265"/>
      <c r="BE29" s="292"/>
      <c r="BF29" s="269"/>
      <c r="BG29" s="268">
        <v>1887</v>
      </c>
      <c r="BH29" s="268">
        <v>1887</v>
      </c>
      <c r="BI29" s="299"/>
      <c r="BJ29" s="259">
        <v>2613</v>
      </c>
      <c r="BK29" s="268">
        <v>1887</v>
      </c>
      <c r="BL29" s="270">
        <v>1887</v>
      </c>
      <c r="BM29" s="45">
        <f t="shared" si="37"/>
        <v>10161</v>
      </c>
      <c r="BN29" s="236">
        <f t="shared" si="38"/>
        <v>10161</v>
      </c>
      <c r="BO29" s="65"/>
      <c r="BP29" s="65" t="s">
        <v>21</v>
      </c>
      <c r="BQ29" s="66"/>
      <c r="BR29" s="4"/>
      <c r="BS29" s="4"/>
      <c r="BT29" s="4"/>
    </row>
    <row r="30" spans="1:72" s="96" customFormat="1" ht="21.75" customHeight="1" thickBot="1">
      <c r="A30" s="90"/>
      <c r="B30" s="204" t="s">
        <v>18</v>
      </c>
      <c r="C30" s="91"/>
      <c r="D30" s="92"/>
      <c r="E30" s="93"/>
      <c r="F30" s="110">
        <f aca="true" t="shared" si="43" ref="F30:N30">SUM(F3:F19)</f>
        <v>17.2</v>
      </c>
      <c r="G30" s="99">
        <f t="shared" si="43"/>
        <v>97285.0678733032</v>
      </c>
      <c r="H30" s="100">
        <f t="shared" si="43"/>
        <v>32422</v>
      </c>
      <c r="I30" s="101">
        <f t="shared" si="43"/>
        <v>26707</v>
      </c>
      <c r="J30" s="101">
        <f t="shared" si="43"/>
        <v>25135.999999999996</v>
      </c>
      <c r="K30" s="101">
        <f t="shared" si="43"/>
        <v>25135.999999999996</v>
      </c>
      <c r="L30" s="101">
        <f t="shared" si="43"/>
        <v>27021.199999999997</v>
      </c>
      <c r="M30" s="101">
        <f t="shared" si="43"/>
        <v>25683.27</v>
      </c>
      <c r="N30" s="101">
        <f t="shared" si="43"/>
        <v>25683</v>
      </c>
      <c r="O30" s="101">
        <f aca="true" t="shared" si="44" ref="O30:Z30">SUM(O3:O18)</f>
        <v>18550</v>
      </c>
      <c r="P30" s="101">
        <f t="shared" si="44"/>
        <v>124687</v>
      </c>
      <c r="Q30" s="101">
        <f t="shared" si="44"/>
        <v>20781</v>
      </c>
      <c r="R30" s="101">
        <f t="shared" si="44"/>
        <v>20781</v>
      </c>
      <c r="S30" s="101">
        <f t="shared" si="44"/>
        <v>20781</v>
      </c>
      <c r="T30" s="101">
        <f t="shared" si="44"/>
        <v>20781</v>
      </c>
      <c r="U30" s="101">
        <f t="shared" si="44"/>
        <v>20781</v>
      </c>
      <c r="V30" s="101">
        <f t="shared" si="44"/>
        <v>0</v>
      </c>
      <c r="W30" s="101">
        <f t="shared" si="44"/>
        <v>20782</v>
      </c>
      <c r="X30" s="101">
        <f t="shared" si="44"/>
        <v>124687</v>
      </c>
      <c r="Y30" s="101">
        <f t="shared" si="44"/>
        <v>0</v>
      </c>
      <c r="Z30" s="101">
        <f t="shared" si="44"/>
        <v>0</v>
      </c>
      <c r="AA30" s="106">
        <f>SUM(AA3:AA19)</f>
        <v>17.5</v>
      </c>
      <c r="AB30" s="98">
        <f>SUM(AB3:AB19)</f>
        <v>32429</v>
      </c>
      <c r="AC30" s="98">
        <f>SUM(AC3:AC19)</f>
        <v>32430</v>
      </c>
      <c r="AD30" s="98">
        <f>SUM(AD3:AD19)</f>
        <v>32430</v>
      </c>
      <c r="AE30" s="98"/>
      <c r="AF30" s="10">
        <f>SUM(AF3:AF19)</f>
        <v>82497.73755656109</v>
      </c>
      <c r="AG30" s="10">
        <f>SUM(AG3:AG19)</f>
        <v>82497</v>
      </c>
      <c r="AH30" s="10">
        <f>SUM(AH3:AH19)</f>
        <v>27503</v>
      </c>
      <c r="AI30" s="95">
        <f>SUM(AI3:AI19)</f>
        <v>28622</v>
      </c>
      <c r="AJ30" s="94">
        <f>SUM(AJ3:AJ19)</f>
        <v>28622</v>
      </c>
      <c r="AK30" s="98"/>
      <c r="AL30" s="107"/>
      <c r="AM30" s="125">
        <f>SUM(AM3:AM19)</f>
        <v>32656</v>
      </c>
      <c r="AN30" s="106">
        <f>SUM(AN3:AN26)</f>
        <v>22.800000000000004</v>
      </c>
      <c r="AO30" s="106">
        <f>SUM(AO3:AO26)</f>
        <v>21.200000000000003</v>
      </c>
      <c r="AP30" s="106">
        <f>SUM(AP3:AP29)</f>
        <v>24.800000000000004</v>
      </c>
      <c r="AQ30" s="106">
        <f aca="true" t="shared" si="45" ref="AQ30:AZ30">SUM(AQ3:AQ26)</f>
        <v>52854.504000000015</v>
      </c>
      <c r="AR30" s="106">
        <f t="shared" si="45"/>
        <v>53000</v>
      </c>
      <c r="AS30" s="106">
        <f t="shared" si="45"/>
        <v>54000</v>
      </c>
      <c r="AT30" s="273">
        <f>SUM(AT3:AT29)</f>
        <v>210000</v>
      </c>
      <c r="AU30" s="285">
        <f>SUM(AU3:AU29)</f>
        <v>42000.00000000001</v>
      </c>
      <c r="AV30" s="279">
        <f>SUM(AV3:AV29)</f>
        <v>39000</v>
      </c>
      <c r="AW30" s="279">
        <f>SUM(AW3:AW29)</f>
        <v>54000</v>
      </c>
      <c r="AX30" s="246">
        <f t="shared" si="45"/>
        <v>51000</v>
      </c>
      <c r="AY30" s="94">
        <f t="shared" si="45"/>
        <v>51000</v>
      </c>
      <c r="AZ30" s="94">
        <f t="shared" si="45"/>
        <v>51000</v>
      </c>
      <c r="BA30" s="293">
        <f>SUM(BA3:BA22)</f>
        <v>0</v>
      </c>
      <c r="BB30" s="94">
        <f aca="true" t="shared" si="46" ref="BB30:BI30">SUM(BB3:BB26)</f>
        <v>53000</v>
      </c>
      <c r="BC30" s="94">
        <f t="shared" si="46"/>
        <v>53000</v>
      </c>
      <c r="BD30" s="94">
        <f t="shared" si="46"/>
        <v>54000</v>
      </c>
      <c r="BE30" s="293">
        <f t="shared" si="46"/>
        <v>0</v>
      </c>
      <c r="BF30" s="189">
        <f t="shared" si="46"/>
        <v>54000</v>
      </c>
      <c r="BG30" s="94">
        <f>SUM(BG3:BG29)</f>
        <v>39000</v>
      </c>
      <c r="BH30" s="94">
        <f>SUM(BH3:BH29)</f>
        <v>39000</v>
      </c>
      <c r="BI30" s="300">
        <f t="shared" si="46"/>
        <v>0</v>
      </c>
      <c r="BJ30" s="98">
        <f>SUM(BJ3:BJ29)</f>
        <v>54000</v>
      </c>
      <c r="BK30" s="98">
        <f>SUM(BK3:BK29)</f>
        <v>39000</v>
      </c>
      <c r="BL30" s="98">
        <f>SUM(BL3:BL29)</f>
        <v>39000</v>
      </c>
      <c r="BM30" s="94">
        <f>SUM(BM3:BM29)</f>
        <v>210000</v>
      </c>
      <c r="BN30" s="235">
        <f>SUM(BN3:BN29)</f>
        <v>577000</v>
      </c>
      <c r="BO30" s="248"/>
      <c r="BP30" s="281">
        <f>AX30+AY30+AZ30+BB30+BC30+BD30+BF30+BG30+BH30+BJ30+BK30+BL30</f>
        <v>577000</v>
      </c>
      <c r="BQ30" s="249"/>
      <c r="BR30" s="196"/>
      <c r="BS30" s="196"/>
      <c r="BT30" s="196"/>
    </row>
    <row r="31" spans="2:66" ht="15">
      <c r="B31" s="205" t="s">
        <v>89</v>
      </c>
      <c r="AE31" s="97">
        <v>125000</v>
      </c>
      <c r="AK31" s="20">
        <v>106000</v>
      </c>
      <c r="BK31" s="122"/>
      <c r="BN31" s="33"/>
    </row>
    <row r="32" spans="2:63" ht="15">
      <c r="B32" s="206" t="s">
        <v>85</v>
      </c>
      <c r="BK32" s="122"/>
    </row>
    <row r="33" spans="2:63" ht="15">
      <c r="B33" s="205" t="s">
        <v>95</v>
      </c>
      <c r="BK33" s="122"/>
    </row>
    <row r="34" spans="2:63" ht="15">
      <c r="B34" s="206" t="s">
        <v>90</v>
      </c>
      <c r="BK34" s="122"/>
    </row>
    <row r="35" spans="2:63" ht="15">
      <c r="B35" s="206" t="s">
        <v>93</v>
      </c>
      <c r="BK35" s="122"/>
    </row>
    <row r="36" ht="15">
      <c r="BK36" s="122"/>
    </row>
    <row r="37" spans="2:63" ht="15">
      <c r="B37" s="206" t="s">
        <v>96</v>
      </c>
      <c r="BK37" s="122"/>
    </row>
    <row r="38" ht="15">
      <c r="BK38" s="122"/>
    </row>
    <row r="39" spans="2:63" ht="15">
      <c r="B39" s="206" t="s">
        <v>102</v>
      </c>
      <c r="BK39" s="122"/>
    </row>
    <row r="40" ht="15">
      <c r="BK40" s="122"/>
    </row>
    <row r="41" spans="2:63" ht="15">
      <c r="B41" s="206" t="s">
        <v>105</v>
      </c>
      <c r="BK41" s="122"/>
    </row>
    <row r="42" spans="2:63" ht="15">
      <c r="B42" s="207" t="s">
        <v>106</v>
      </c>
      <c r="BK42" s="122"/>
    </row>
    <row r="43" spans="2:63" ht="15">
      <c r="B43" s="207"/>
      <c r="BK43" s="122"/>
    </row>
    <row r="44" spans="2:63" ht="15.75">
      <c r="B44" s="208"/>
      <c r="C44" s="155"/>
      <c r="D44" s="155"/>
      <c r="E44" s="155"/>
      <c r="BK44" s="122"/>
    </row>
    <row r="45" spans="2:63" ht="15.75">
      <c r="B45" s="208"/>
      <c r="C45" s="155"/>
      <c r="D45" s="155"/>
      <c r="E45" s="155"/>
      <c r="BK45" s="122"/>
    </row>
    <row r="46" ht="15">
      <c r="BK46" s="122"/>
    </row>
    <row r="47" ht="15">
      <c r="BK47" s="122"/>
    </row>
    <row r="48" spans="2:7" ht="15">
      <c r="B48" s="308"/>
      <c r="C48" s="308"/>
      <c r="D48" s="308"/>
      <c r="E48" s="308"/>
      <c r="F48" s="308"/>
      <c r="G48" s="308"/>
    </row>
    <row r="49" spans="2:7" ht="15">
      <c r="B49" s="209"/>
      <c r="C49" s="109"/>
      <c r="D49" s="109"/>
      <c r="E49" s="109"/>
      <c r="F49" s="109"/>
      <c r="G49" s="109"/>
    </row>
    <row r="50" spans="2:7" ht="15">
      <c r="B50" s="209"/>
      <c r="C50" s="109"/>
      <c r="D50" s="109"/>
      <c r="E50" s="109"/>
      <c r="F50" s="109"/>
      <c r="G50" s="109"/>
    </row>
    <row r="51" ht="15">
      <c r="B51" s="205"/>
    </row>
  </sheetData>
  <sheetProtection/>
  <mergeCells count="1">
    <mergeCell ref="B48:G48"/>
  </mergeCells>
  <printOptions/>
  <pageMargins left="0" right="0" top="0" bottom="0" header="0.011811024" footer="0.51181102362204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Silviu Stan</cp:lastModifiedBy>
  <cp:lastPrinted>2019-07-12T10:41:05Z</cp:lastPrinted>
  <dcterms:created xsi:type="dcterms:W3CDTF">2008-09-30T07:52:50Z</dcterms:created>
  <dcterms:modified xsi:type="dcterms:W3CDTF">2019-07-25T05:44:11Z</dcterms:modified>
  <cp:category/>
  <cp:version/>
  <cp:contentType/>
  <cp:contentStatus/>
</cp:coreProperties>
</file>